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555" windowWidth="15195" windowHeight="6945" tabRatio="789" activeTab="0"/>
  </bookViews>
  <sheets>
    <sheet name="W&amp;B Calculator" sheetId="1" r:id="rId1"/>
    <sheet name="Glider Polars" sheetId="2" r:id="rId2"/>
    <sheet name="Fin Ballast" sheetId="3" r:id="rId3"/>
    <sheet name="Actual Empty Wgts &amp; Moments" sheetId="4" r:id="rId4"/>
    <sheet name="Other CG Positions" sheetId="5" r:id="rId5"/>
    <sheet name="Jonathan's v1 W&amp;B" sheetId="6" r:id="rId6"/>
    <sheet name="Manual's Example CG Calculation" sheetId="7" r:id="rId7"/>
    <sheet name="Trim for Heavy Pilots" sheetId="8" r:id="rId8"/>
  </sheets>
  <definedNames/>
  <calcPr fullCalcOnLoad="1"/>
</workbook>
</file>

<file path=xl/comments1.xml><?xml version="1.0" encoding="utf-8"?>
<comments xmlns="http://schemas.openxmlformats.org/spreadsheetml/2006/main">
  <authors>
    <author>Jonathan Hughes</author>
    <author>Matt Gillis</author>
  </authors>
  <commentList>
    <comment ref="B9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154lbs
Max 242lbs</t>
        </r>
      </text>
    </comment>
    <comment ref="B1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0lbs
Max 221lbs
</t>
        </r>
      </text>
    </comment>
    <comment ref="B15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 463lbs
</t>
        </r>
      </text>
    </comment>
    <comment ref="B16" authorId="0">
      <text>
        <r>
          <rPr>
            <b/>
            <sz val="8"/>
            <rFont val="Tahoma"/>
            <family val="0"/>
          </rPr>
          <t>See water ballast calculator to the right 
Jonathan Hughes:</t>
        </r>
        <r>
          <rPr>
            <sz val="8"/>
            <rFont val="Tahoma"/>
            <family val="0"/>
          </rPr>
          <t xml:space="preserve">
Min: 0lbs
Max: 353.6lbs
</t>
        </r>
      </text>
    </comment>
    <comment ref="B17" authorId="0">
      <text>
        <r>
          <rPr>
            <b/>
            <sz val="8"/>
            <rFont val="Tahoma"/>
            <family val="0"/>
          </rPr>
          <t>Tail Water Ballast linked to "Fin Ballast" Spreadsheet.
Jonathan Hughes:</t>
        </r>
        <r>
          <rPr>
            <sz val="8"/>
            <rFont val="Tahoma"/>
            <family val="0"/>
          </rPr>
          <t xml:space="preserve">
Min: 0lbs
Max: 13.7lbs</t>
        </r>
      </text>
    </comment>
    <comment ref="B19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1653
</t>
        </r>
      </text>
    </comment>
    <comment ref="C19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750kg</t>
        </r>
      </text>
    </comment>
    <comment ref="D19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Forward Limit -190mm
Aft Limit -440mm
</t>
        </r>
      </text>
    </comment>
    <comment ref="B3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154lbs
Max 242lbs</t>
        </r>
      </text>
    </comment>
    <comment ref="B31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0lbs
Max 221lbs
</t>
        </r>
      </text>
    </comment>
    <comment ref="B36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 463lbs
</t>
        </r>
      </text>
    </comment>
    <comment ref="B4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1653
</t>
        </r>
      </text>
    </comment>
    <comment ref="C4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750kg</t>
        </r>
      </text>
    </comment>
    <comment ref="D4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Forward Limit -190mm
Aft Limit -440mm
</t>
        </r>
      </text>
    </comment>
    <comment ref="D11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switched from manual and source table</t>
        </r>
      </text>
    </comment>
    <comment ref="D6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All of the moments switched sign from the manual.  </t>
        </r>
      </text>
    </comment>
    <comment ref="D13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Linked to "Other CG Positions"</t>
        </r>
      </text>
    </comment>
    <comment ref="I29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Linked to Table
</t>
        </r>
      </text>
    </comment>
    <comment ref="D32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switched from manual and source table</t>
        </r>
      </text>
    </comment>
    <comment ref="D27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All of the moments switched sign from the manual.  </t>
        </r>
      </text>
    </comment>
    <comment ref="C18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linked to Tail Ballast estimate table to the right.</t>
        </r>
      </text>
    </comment>
    <comment ref="B37" authorId="0">
      <text>
        <r>
          <rPr>
            <b/>
            <sz val="8"/>
            <rFont val="Tahoma"/>
            <family val="0"/>
          </rPr>
          <t>See water ballast calculator to the right 
Jonathan Hughes:</t>
        </r>
        <r>
          <rPr>
            <sz val="8"/>
            <rFont val="Tahoma"/>
            <family val="0"/>
          </rPr>
          <t xml:space="preserve">
Min: 0lbs
Max: 353.6lbs
</t>
        </r>
      </text>
    </comment>
    <comment ref="B38" authorId="0">
      <text>
        <r>
          <rPr>
            <b/>
            <sz val="8"/>
            <rFont val="Tahoma"/>
            <family val="0"/>
          </rPr>
          <t>Tail Water Ballast linked to "Fin Ballast" Spreadsheet.
Jonathan Hughes:</t>
        </r>
        <r>
          <rPr>
            <sz val="8"/>
            <rFont val="Tahoma"/>
            <family val="0"/>
          </rPr>
          <t xml:space="preserve">
Min: 0lbs
Max: 13.7lbs</t>
        </r>
      </text>
    </comment>
    <comment ref="D34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switched from manual and source table</t>
        </r>
      </text>
    </comment>
    <comment ref="D35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switched from manual and source table</t>
        </r>
      </text>
    </comment>
    <comment ref="D14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Linked to "Other CG Positions"</t>
        </r>
      </text>
    </comment>
    <comment ref="G29" authorId="1">
      <text>
        <r>
          <rPr>
            <b/>
            <sz val="10"/>
            <rFont val="Tahoma"/>
            <family val="2"/>
          </rPr>
          <t>Enter # gallons here.</t>
        </r>
      </text>
    </comment>
    <comment ref="C20" authorId="1">
      <text>
        <r>
          <rPr>
            <b/>
            <sz val="8"/>
            <rFont val="Tahoma"/>
            <family val="2"/>
          </rPr>
          <t>Flight manual DG-1000S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Technical data</t>
        </r>
        <r>
          <rPr>
            <sz val="8"/>
            <rFont val="Tahoma"/>
            <family val="0"/>
          </rPr>
          <t xml:space="preserve">
Span m 18 20
Wing area m2 16,72 17,53
Aspect ratio / 19,38 22,82
Length m 8,57
Fuselage height m 1,0
Fuselage width m 0,73
Span of the horizontal tailplane m 3,2
Waterballast Wings max. kg (l) 160 160
Waterballast fin max. kg 6,2
Trim ballast fin max. kg 12
Empty mass with basic instruments* ca. kg 411 415
Wing loading (with one Pilot 80kg) ca. kg/m² 29,4 28,2
max. take off mass (max. TOW) kg 750 750
max. wing loading kg/m² 44,9 42,8
Aerobatics unlimited
Category „A“
simple
max. TOW for aerobatics and with
fixed undercarriage
kg 630 630
max. speed km/h 270 270
*Options will increase the empty mass accordingly!</t>
        </r>
      </text>
    </comment>
    <comment ref="D20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Max 42.8 Kg/m²</t>
        </r>
      </text>
    </comment>
    <comment ref="D41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Max 44.9 Kg/m²</t>
        </r>
      </text>
    </comment>
    <comment ref="A3" authorId="1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Protection PW for editing= dg1000</t>
        </r>
      </text>
    </comment>
  </commentList>
</comments>
</file>

<file path=xl/comments2.xml><?xml version="1.0" encoding="utf-8"?>
<comments xmlns="http://schemas.openxmlformats.org/spreadsheetml/2006/main">
  <authors>
    <author>Matt Gillis</author>
  </authors>
  <commentList>
    <comment ref="D18" authorId="0">
      <text>
        <r>
          <rPr>
            <b/>
            <sz val="8"/>
            <rFont val="Tahoma"/>
            <family val="0"/>
          </rPr>
          <t>Matt Gillis:</t>
        </r>
        <r>
          <rPr>
            <sz val="8"/>
            <rFont val="Tahoma"/>
            <family val="0"/>
          </rPr>
          <t xml:space="preserve">
m/s to knots</t>
        </r>
      </text>
    </comment>
  </commentList>
</comments>
</file>

<file path=xl/comments6.xml><?xml version="1.0" encoding="utf-8"?>
<comments xmlns="http://schemas.openxmlformats.org/spreadsheetml/2006/main">
  <authors>
    <author>Jonathan Hughes</author>
  </authors>
  <commentList>
    <comment ref="B4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154lbs
Max 242lbs</t>
        </r>
      </text>
    </comment>
    <comment ref="B5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0lbs
Max 221lbs
</t>
        </r>
      </text>
    </comment>
    <comment ref="B6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 463lbs
</t>
        </r>
      </text>
    </comment>
    <comment ref="D1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Forward Limit -190mm
Aft Limit -440mm
</t>
        </r>
      </text>
    </comment>
    <comment ref="B1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1653
</t>
        </r>
      </text>
    </comment>
    <comment ref="C1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750kg</t>
        </r>
      </text>
    </comment>
    <comment ref="B7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Min: 0lbs
Max: 353.6lbs
</t>
        </r>
      </text>
    </comment>
    <comment ref="B8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Min: 0lbs
Max: 13.7lbs</t>
        </r>
      </text>
    </comment>
    <comment ref="B16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154lbs
Max 242lbs</t>
        </r>
      </text>
    </comment>
    <comment ref="B17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 0lbs
Max 221lbs
</t>
        </r>
      </text>
    </comment>
    <comment ref="B18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 463lbs
</t>
        </r>
      </text>
    </comment>
    <comment ref="B19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Min: 0lbs
Max: 353.6lbs
</t>
        </r>
      </text>
    </comment>
    <comment ref="B20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Min: 0lbs
Max: 13.7lbs</t>
        </r>
      </text>
    </comment>
    <comment ref="B22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1653
</t>
        </r>
      </text>
    </comment>
    <comment ref="C22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Max: 750kg</t>
        </r>
      </text>
    </comment>
    <comment ref="D22" authorId="0">
      <text>
        <r>
          <rPr>
            <b/>
            <sz val="8"/>
            <rFont val="Tahoma"/>
            <family val="0"/>
          </rPr>
          <t>Jonathan Hughes:</t>
        </r>
        <r>
          <rPr>
            <sz val="8"/>
            <rFont val="Tahoma"/>
            <family val="0"/>
          </rPr>
          <t xml:space="preserve">
Forward Limit -190mm
Aft Limit -440mm
</t>
        </r>
      </text>
    </comment>
  </commentList>
</comments>
</file>

<file path=xl/sharedStrings.xml><?xml version="1.0" encoding="utf-8"?>
<sst xmlns="http://schemas.openxmlformats.org/spreadsheetml/2006/main" count="317" uniqueCount="197">
  <si>
    <t>20m</t>
  </si>
  <si>
    <t>lbs</t>
  </si>
  <si>
    <t>kg</t>
  </si>
  <si>
    <t>arm</t>
  </si>
  <si>
    <t>moment</t>
  </si>
  <si>
    <t>Front Ballast Box</t>
  </si>
  <si>
    <t>Front Seat Pilot</t>
  </si>
  <si>
    <t>Rear Seat Pilot</t>
  </si>
  <si>
    <t>Basic Empty Weight</t>
  </si>
  <si>
    <t>Tail Ballast Box</t>
  </si>
  <si>
    <t>Wing Water Ballast</t>
  </si>
  <si>
    <t>Tail Water Ballast</t>
  </si>
  <si>
    <t>kg/lb</t>
  </si>
  <si>
    <t>Max Front Pilot</t>
  </si>
  <si>
    <t>Min Front Pilot</t>
  </si>
  <si>
    <t>Forward CG Limit</t>
  </si>
  <si>
    <t>mm</t>
  </si>
  <si>
    <t>Aft CG Limit</t>
  </si>
  <si>
    <t>Total Pilot Load</t>
  </si>
  <si>
    <t>kg/gal</t>
  </si>
  <si>
    <t>Wing Tank Capacity</t>
  </si>
  <si>
    <t>Tail Tank Capacity</t>
  </si>
  <si>
    <t>Max Cockpit Load</t>
  </si>
  <si>
    <t>Max All Up Weight Dry</t>
  </si>
  <si>
    <t>Max All Up Weight Wet</t>
  </si>
  <si>
    <t>??</t>
  </si>
  <si>
    <t>Totals</t>
  </si>
  <si>
    <t>18m</t>
  </si>
  <si>
    <t>Max Baggage</t>
  </si>
  <si>
    <t>wings</t>
  </si>
  <si>
    <t>/</t>
  </si>
  <si>
    <t>fin</t>
  </si>
  <si>
    <t>5,4</t>
  </si>
  <si>
    <t>waterballast in the</t>
  </si>
  <si>
    <t>lbs.</t>
  </si>
  <si>
    <t>Trim-possibility for heavy pilots:</t>
  </si>
  <si>
    <t>The ballast box may be used for this purpose too.</t>
  </si>
  <si>
    <t>One trim weight of 1.2 kg raises the min. load in the front seat by 3.5 kg</t>
  </si>
  <si>
    <t>(7.7 lbs.).</t>
  </si>
  <si>
    <t>One trim weight of 2.4 kg raises the min. load in the front seat by 7 kg</t>
  </si>
  <si>
    <t>(15.4 lbs.).</t>
  </si>
  <si>
    <t>Example:</t>
  </si>
  <si>
    <t>Min. cockpit load of the glider:</t>
  </si>
  <si>
    <t>Mass of the front pilot:</t>
  </si>
  <si>
    <t>Mass of the rear pilot:</t>
  </si>
  <si>
    <t>Total amount of trim ballast:</t>
  </si>
  <si>
    <t>permissible amount of trim weights</t>
  </si>
  <si>
    <t>2 x 2.4 kg</t>
  </si>
  <si>
    <t>3 x 2.4 kg or 2 x 2,4 kg and 2 x 1,2 kg</t>
  </si>
  <si>
    <t>12 kg</t>
  </si>
  <si>
    <t>This means that the ballast box can be filled completely for this example.</t>
  </si>
  <si>
    <t>Higher pilot masses can’t be compensated.</t>
  </si>
  <si>
    <t>Item</t>
  </si>
  <si>
    <t>Aircraft empty (with Battery in the fin)</t>
  </si>
  <si>
    <t>Pilot front</t>
  </si>
  <si>
    <t>Rear</t>
  </si>
  <si>
    <t>Waterballast in the wings</t>
  </si>
  <si>
    <t>Water in the fin tank</t>
  </si>
  <si>
    <t>Ballast in box in the fin</t>
  </si>
  <si>
    <t>Total:</t>
  </si>
  <si>
    <t>mass</t>
  </si>
  <si>
    <t>[kg]</t>
  </si>
  <si>
    <t>9,6</t>
  </si>
  <si>
    <t>C.G. behind</t>
  </si>
  <si>
    <t>Datum [m]</t>
  </si>
  <si>
    <t>0,740</t>
  </si>
  <si>
    <t>- 0,280</t>
  </si>
  <si>
    <t>0,206</t>
  </si>
  <si>
    <t>XS= 0,406</t>
  </si>
  <si>
    <t>Moment</t>
  </si>
  <si>
    <t>[m×kg]</t>
  </si>
  <si>
    <t>318,20</t>
  </si>
  <si>
    <t>- 101,25</t>
  </si>
  <si>
    <t>- 23,80</t>
  </si>
  <si>
    <t>28,84</t>
  </si>
  <si>
    <t>28,40</t>
  </si>
  <si>
    <t>51,84</t>
  </si>
  <si>
    <t>302,2</t>
  </si>
  <si>
    <t>(XS = Moment/Mass)</t>
  </si>
  <si>
    <t>6.9 C.G. calculation</t>
  </si>
  <si>
    <t>The actual C.G. can be determined as follows:</t>
  </si>
  <si>
    <t>For each item, the moment mass x C.G. has to be determined and to be added up</t>
  </si>
  <si>
    <t>and divided by the total mass. See the following example:</t>
  </si>
  <si>
    <t>1 kg = 2.2046 lbs. = .264 US gal. water 0.305 m = 1 ft</t>
  </si>
  <si>
    <t>The most important C.G. positions (behind datum):</t>
  </si>
  <si>
    <t>Pilot: The C.G. position is dependent on the pilots shape, mass and thickness of</t>
  </si>
  <si>
    <t>the parachute. The pilot C.G. position can be determined by executing a weight</t>
  </si>
  <si>
    <t>and balance measurement with glider empty and equipped with the pilot etc. see</t>
  </si>
  <si>
    <t>maintenance manual. Please note, that the distance a has to be measured with</t>
  </si>
  <si>
    <t>both configurations, as it may change due to deflection of the landing gear.</t>
  </si>
  <si>
    <t>XP = (XSF * MF - XSE * ME)/MP</t>
  </si>
  <si>
    <t>MF = flight mass XSF = flight C.G MP = pilot mass</t>
  </si>
  <si>
    <t>ME = empty mass XSE = empty C.G.</t>
  </si>
  <si>
    <t xml:space="preserve"> </t>
  </si>
  <si>
    <t>Further C.G. positions:</t>
  </si>
  <si>
    <t>Baggage and battery in baggage compartment</t>
  </si>
  <si>
    <t>Fin ballast tank (see section 6.8.6)</t>
  </si>
  <si>
    <t>Ballast box in the fin (see section 6.8.7)</t>
  </si>
  <si>
    <t>Instruments in front panel</t>
  </si>
  <si>
    <t>Instruments in rear panel</t>
  </si>
  <si>
    <t>removable ballast (Option, see section 7.15.1)</t>
  </si>
  <si>
    <t>Battery in fin (see section 6.8.4)</t>
  </si>
  <si>
    <t>Tail wheel /see section 7.15.4)</t>
  </si>
  <si>
    <t>m</t>
  </si>
  <si>
    <t>FIN Ballast versus Wing Ballast</t>
  </si>
  <si>
    <t>Subtotal</t>
  </si>
  <si>
    <t>to User in the Jonathan version</t>
  </si>
  <si>
    <t>The limits of the in-flight C.G 0,190m - 0,440m should not be exceeded!</t>
  </si>
  <si>
    <t>Baggage (incl. battery)</t>
  </si>
  <si>
    <t># gallons/wing</t>
  </si>
  <si>
    <t>Total lbs.</t>
  </si>
  <si>
    <t>Water ballast estimates</t>
  </si>
  <si>
    <t>lbs/wing</t>
  </si>
  <si>
    <r>
      <t>O</t>
    </r>
    <r>
      <rPr>
        <b/>
        <i/>
        <vertAlign val="subscript"/>
        <sz val="12"/>
        <color indexed="17"/>
        <rFont val="Times New Roman"/>
        <family val="1"/>
      </rPr>
      <t>2</t>
    </r>
  </si>
  <si>
    <t>A 5 gallon bucket of water weighs</t>
  </si>
  <si>
    <t>Gross weight is</t>
  </si>
  <si>
    <t>6.8.7 Ballast box in the fin
Compensation of the C.G. shift due to the rear pilot:
The ballast box can accommodate max. 4 weights of 2,4 kg mass (heavy weight)
and 2 weights of 1,2 kg mass (light weight), so the max. mass is 12 kg.</t>
  </si>
  <si>
    <t># (max 4)</t>
  </si>
  <si>
    <t># (max 2)</t>
  </si>
  <si>
    <t>Total (Kg)</t>
  </si>
  <si>
    <t>DATUM, FRONT WING ROOT AT FUSELAGE</t>
  </si>
  <si>
    <t>EMPTY WEIGHTS</t>
  </si>
  <si>
    <t>FACTORY WEIGHING, NO O2 OR MID BATTERY</t>
  </si>
  <si>
    <t xml:space="preserve">   KILOGRAMS</t>
  </si>
  <si>
    <t xml:space="preserve"> OTHER</t>
  </si>
  <si>
    <t>MOMENT</t>
  </si>
  <si>
    <t>18 M</t>
  </si>
  <si>
    <t>20 M</t>
  </si>
  <si>
    <t xml:space="preserve">  ARMS</t>
  </si>
  <si>
    <t xml:space="preserve">     mm</t>
  </si>
  <si>
    <t xml:space="preserve"> ARMS</t>
  </si>
  <si>
    <t>Main Wheel</t>
  </si>
  <si>
    <t xml:space="preserve">        a =</t>
  </si>
  <si>
    <t>Front Ballast</t>
  </si>
  <si>
    <t>Tail Wheel</t>
  </si>
  <si>
    <t xml:space="preserve">         b =</t>
  </si>
  <si>
    <t>Front Instruments</t>
  </si>
  <si>
    <t xml:space="preserve">     a+b =</t>
  </si>
  <si>
    <t>Front Seat</t>
  </si>
  <si>
    <t>EMPTY CG POSITIONS</t>
  </si>
  <si>
    <t>Rear Instruments</t>
  </si>
  <si>
    <t>Rear Seat</t>
  </si>
  <si>
    <t>Mid ship battery</t>
  </si>
  <si>
    <t>ADDED</t>
  </si>
  <si>
    <t>WEIGHTS</t>
  </si>
  <si>
    <t>FRONT VARIO</t>
  </si>
  <si>
    <t>FRONT G METER</t>
  </si>
  <si>
    <t>TRANSPONDER</t>
  </si>
  <si>
    <t>REAR VARIO</t>
  </si>
  <si>
    <t>REAR G METER</t>
  </si>
  <si>
    <t>MIDSHIP BATTERY</t>
  </si>
  <si>
    <t xml:space="preserve">  CG POSITIONS</t>
  </si>
  <si>
    <t>SUM OF MOMENTS</t>
  </si>
  <si>
    <t>Datum [mm]</t>
  </si>
  <si>
    <t>[mm×kg]</t>
  </si>
  <si>
    <t>Add'l Instruments in front panel</t>
  </si>
  <si>
    <t>Add'l Instruments in rear panel</t>
  </si>
  <si>
    <t>Check "fin ballast" spreadsheet tab with compensation.</t>
  </si>
  <si>
    <t>Gal.</t>
  </si>
  <si>
    <t>test</t>
  </si>
  <si>
    <t xml:space="preserve">Baggage </t>
  </si>
  <si>
    <t>CG is</t>
  </si>
  <si>
    <t>Dry</t>
  </si>
  <si>
    <t>Wet</t>
  </si>
  <si>
    <t>The limits of the in-flight C.G 0,190m - 0,440m (190 - 440 mm) should not be exceeded!</t>
  </si>
  <si>
    <t>Number of 5 gal. buckets per wing =</t>
  </si>
  <si>
    <t>Total 5 gal. buckets =</t>
  </si>
  <si>
    <t>Other CG Positions</t>
  </si>
  <si>
    <t xml:space="preserve">Max All Up Weight Dry Aerobatic </t>
  </si>
  <si>
    <t>Dry (Aerobatic Category)</t>
  </si>
  <si>
    <t>20m Limits</t>
  </si>
  <si>
    <t>18m Limits</t>
  </si>
  <si>
    <t>Basic Empty Weight CORRECTED for added components</t>
  </si>
  <si>
    <t>Element</t>
  </si>
  <si>
    <t>Max Capacity = 350 lbs (160 Kg)</t>
  </si>
  <si>
    <t>N451CH</t>
  </si>
  <si>
    <t>Tail Number =</t>
  </si>
  <si>
    <t>DG1000 Weight and Balance Calculator</t>
  </si>
  <si>
    <t>18m Wings</t>
  </si>
  <si>
    <t>20m Wings</t>
  </si>
  <si>
    <t xml:space="preserve">  Data From the DG1000 Manual p. 6.11</t>
  </si>
  <si>
    <t>Note: Uncolored boxes are for data entry.  Other cells are calculated or linked to subtables.</t>
  </si>
  <si>
    <t>Performance Speed Compromises</t>
  </si>
  <si>
    <t>kph</t>
  </si>
  <si>
    <t>knots</t>
  </si>
  <si>
    <t>Sink Rate</t>
  </si>
  <si>
    <t>Solo</t>
  </si>
  <si>
    <t>2 P no bal</t>
  </si>
  <si>
    <t>Full bal</t>
  </si>
  <si>
    <t>Best Glide Sink Rates (m/s)</t>
  </si>
  <si>
    <t>Glide Actual</t>
  </si>
  <si>
    <t>3 P no bal</t>
  </si>
  <si>
    <t>Glide Loss vs max ballast</t>
  </si>
  <si>
    <t>DG1000 Polar Curves - 20m tips</t>
  </si>
  <si>
    <t>16,72 17,53</t>
  </si>
  <si>
    <t>Wing area =</t>
  </si>
  <si>
    <t>Wing loading 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</si>
</sst>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by &quot;0.0"/>
    <numFmt numFmtId="172" formatCode="&quot;by &quot;0.0&quot; lbs&quot;"/>
    <numFmt numFmtId="173" formatCode="&quot;by &quot;\ 0.0&quot; lbs&quot;"/>
    <numFmt numFmtId="174" formatCode="0.00&quot; lbs&quot;"/>
    <numFmt numFmtId="175" formatCode="0.00&quot; lbs water/gal.&quot;"/>
    <numFmt numFmtId="176" formatCode="mmm\-yyyy"/>
    <numFmt numFmtId="177" formatCode="0.00&quot; Kg/m²&quot;"/>
    <numFmt numFmtId="178" formatCode="0.00&quot; m²&quot;"/>
    <numFmt numFmtId="179" formatCode="0.00&quot; ft²&quot;"/>
    <numFmt numFmtId="180" formatCode="0.00&quot; lbs/ft²&quot;"/>
  </numFmts>
  <fonts count="6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sz val="10"/>
      <name val="Times New Roman"/>
      <family val="0"/>
    </font>
    <font>
      <b/>
      <sz val="11"/>
      <name val="Times New Roman"/>
      <family val="1"/>
    </font>
    <font>
      <sz val="14"/>
      <name val="Times New Roman"/>
      <family val="0"/>
    </font>
    <font>
      <sz val="14"/>
      <name val="Arial"/>
      <family val="0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6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1"/>
      <color indexed="17"/>
      <name val="Times New Roman"/>
      <family val="1"/>
    </font>
    <font>
      <b/>
      <sz val="14"/>
      <name val="Arial"/>
      <family val="2"/>
    </font>
    <font>
      <b/>
      <i/>
      <sz val="12"/>
      <color indexed="17"/>
      <name val="Times New Roman"/>
      <family val="1"/>
    </font>
    <font>
      <b/>
      <i/>
      <vertAlign val="subscript"/>
      <sz val="12"/>
      <color indexed="17"/>
      <name val="Times New Roman"/>
      <family val="1"/>
    </font>
    <font>
      <b/>
      <sz val="18"/>
      <name val="Arial"/>
      <family val="0"/>
    </font>
    <font>
      <b/>
      <sz val="14"/>
      <color indexed="10"/>
      <name val="Arial"/>
      <family val="2"/>
    </font>
    <font>
      <b/>
      <i/>
      <sz val="12"/>
      <color indexed="12"/>
      <name val="Arial"/>
      <family val="2"/>
    </font>
    <font>
      <sz val="12"/>
      <name val="Bodoni MT Black"/>
      <family val="1"/>
    </font>
    <font>
      <b/>
      <sz val="12"/>
      <color indexed="12"/>
      <name val="Bodoni MT Black"/>
      <family val="1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4"/>
      <color indexed="12"/>
      <name val="Times New Roman"/>
      <family val="1"/>
    </font>
    <font>
      <b/>
      <i/>
      <sz val="12"/>
      <color indexed="10"/>
      <name val="Arial"/>
      <family val="2"/>
    </font>
    <font>
      <b/>
      <i/>
      <sz val="12"/>
      <color indexed="10"/>
      <name val="Times New Roman"/>
      <family val="1"/>
    </font>
    <font>
      <sz val="11"/>
      <name val="Times New Roman"/>
      <family val="0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0"/>
    </font>
    <font>
      <b/>
      <i/>
      <sz val="12"/>
      <color indexed="16"/>
      <name val="Arial"/>
      <family val="2"/>
    </font>
    <font>
      <b/>
      <i/>
      <sz val="16"/>
      <name val="Times New Roman"/>
      <family val="1"/>
    </font>
    <font>
      <b/>
      <i/>
      <sz val="11"/>
      <name val="Arial"/>
      <family val="2"/>
    </font>
    <font>
      <b/>
      <i/>
      <sz val="9"/>
      <name val="Arial"/>
      <family val="2"/>
    </font>
    <font>
      <sz val="12"/>
      <color indexed="6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0"/>
      <name val="Tahoma"/>
      <family val="2"/>
    </font>
    <font>
      <b/>
      <i/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8"/>
      <name val="Times New Roman"/>
      <family val="0"/>
    </font>
    <font>
      <sz val="10"/>
      <color indexed="10"/>
      <name val="Times New Roman"/>
      <family val="0"/>
    </font>
    <font>
      <sz val="10"/>
      <color indexed="12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1" fillId="2" borderId="1" xfId="0" applyFont="1" applyFill="1" applyBorder="1" applyAlignment="1">
      <alignment horizontal="right"/>
    </xf>
    <xf numFmtId="0" fontId="12" fillId="3" borderId="2" xfId="0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12" fillId="3" borderId="4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2" borderId="4" xfId="0" applyFont="1" applyFill="1" applyBorder="1" applyAlignment="1">
      <alignment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12" fillId="3" borderId="8" xfId="0" applyNumberFormat="1" applyFont="1" applyFill="1" applyBorder="1" applyAlignment="1">
      <alignment/>
    </xf>
    <xf numFmtId="164" fontId="12" fillId="0" borderId="4" xfId="0" applyNumberFormat="1" applyFont="1" applyBorder="1" applyAlignment="1">
      <alignment/>
    </xf>
    <xf numFmtId="164" fontId="12" fillId="3" borderId="4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/>
    </xf>
    <xf numFmtId="0" fontId="18" fillId="0" borderId="0" xfId="28">
      <alignment/>
      <protection/>
    </xf>
    <xf numFmtId="0" fontId="18" fillId="0" borderId="0" xfId="28" applyFont="1">
      <alignment/>
      <protection/>
    </xf>
    <xf numFmtId="0" fontId="18" fillId="0" borderId="0" xfId="28" applyAlignment="1">
      <alignment horizontal="center"/>
      <protection/>
    </xf>
    <xf numFmtId="0" fontId="18" fillId="0" borderId="9" xfId="28" applyBorder="1">
      <alignment/>
      <protection/>
    </xf>
    <xf numFmtId="0" fontId="18" fillId="0" borderId="10" xfId="28" applyBorder="1">
      <alignment/>
      <protection/>
    </xf>
    <xf numFmtId="0" fontId="18" fillId="0" borderId="11" xfId="28" applyBorder="1">
      <alignment/>
      <protection/>
    </xf>
    <xf numFmtId="0" fontId="19" fillId="0" borderId="11" xfId="28" applyFont="1" applyBorder="1" applyAlignment="1">
      <alignment horizontal="center"/>
      <protection/>
    </xf>
    <xf numFmtId="0" fontId="18" fillId="0" borderId="4" xfId="28" applyBorder="1">
      <alignment/>
      <protection/>
    </xf>
    <xf numFmtId="0" fontId="18" fillId="0" borderId="2" xfId="28" applyBorder="1">
      <alignment/>
      <protection/>
    </xf>
    <xf numFmtId="0" fontId="19" fillId="0" borderId="10" xfId="28" applyFont="1" applyBorder="1" applyAlignment="1">
      <alignment horizontal="center"/>
      <protection/>
    </xf>
    <xf numFmtId="0" fontId="18" fillId="0" borderId="12" xfId="28" applyBorder="1">
      <alignment/>
      <protection/>
    </xf>
    <xf numFmtId="0" fontId="18" fillId="0" borderId="13" xfId="28" applyBorder="1">
      <alignment/>
      <protection/>
    </xf>
    <xf numFmtId="0" fontId="18" fillId="0" borderId="14" xfId="28" applyFont="1" applyBorder="1" applyAlignment="1">
      <alignment horizontal="center"/>
      <protection/>
    </xf>
    <xf numFmtId="0" fontId="12" fillId="0" borderId="0" xfId="28" applyFont="1">
      <alignment/>
      <protection/>
    </xf>
    <xf numFmtId="0" fontId="20" fillId="0" borderId="0" xfId="28" applyFont="1">
      <alignment/>
      <protection/>
    </xf>
    <xf numFmtId="0" fontId="11" fillId="0" borderId="15" xfId="28" applyFont="1" applyBorder="1" applyAlignment="1">
      <alignment horizontal="center"/>
      <protection/>
    </xf>
    <xf numFmtId="0" fontId="12" fillId="0" borderId="16" xfId="28" applyFont="1" applyBorder="1" applyAlignment="1">
      <alignment horizontal="center"/>
      <protection/>
    </xf>
    <xf numFmtId="0" fontId="12" fillId="0" borderId="17" xfId="28" applyFont="1" applyBorder="1" applyAlignment="1">
      <alignment horizontal="center"/>
      <protection/>
    </xf>
    <xf numFmtId="0" fontId="12" fillId="0" borderId="5" xfId="28" applyFont="1" applyBorder="1">
      <alignment/>
      <protection/>
    </xf>
    <xf numFmtId="0" fontId="12" fillId="0" borderId="8" xfId="28" applyFont="1" applyBorder="1" applyAlignment="1">
      <alignment horizontal="center"/>
      <protection/>
    </xf>
    <xf numFmtId="0" fontId="12" fillId="0" borderId="18" xfId="28" applyFont="1" applyBorder="1" applyAlignment="1">
      <alignment horizontal="center"/>
      <protection/>
    </xf>
    <xf numFmtId="0" fontId="12" fillId="0" borderId="1" xfId="28" applyFont="1" applyBorder="1">
      <alignment/>
      <protection/>
    </xf>
    <xf numFmtId="0" fontId="12" fillId="0" borderId="2" xfId="28" applyFont="1" applyBorder="1" applyAlignment="1">
      <alignment horizontal="center"/>
      <protection/>
    </xf>
    <xf numFmtId="0" fontId="12" fillId="0" borderId="19" xfId="28" applyFont="1" applyBorder="1" applyAlignment="1">
      <alignment horizontal="center"/>
      <protection/>
    </xf>
    <xf numFmtId="0" fontId="12" fillId="0" borderId="3" xfId="28" applyFont="1" applyBorder="1">
      <alignment/>
      <protection/>
    </xf>
    <xf numFmtId="0" fontId="12" fillId="0" borderId="4" xfId="28" applyFont="1" applyBorder="1" applyAlignment="1">
      <alignment horizontal="center"/>
      <protection/>
    </xf>
    <xf numFmtId="3" fontId="12" fillId="0" borderId="4" xfId="28" applyNumberFormat="1" applyFont="1" applyBorder="1" applyAlignment="1">
      <alignment horizontal="center"/>
      <protection/>
    </xf>
    <xf numFmtId="0" fontId="12" fillId="0" borderId="20" xfId="28" applyFont="1" applyBorder="1" applyAlignment="1">
      <alignment horizontal="center"/>
      <protection/>
    </xf>
    <xf numFmtId="0" fontId="12" fillId="0" borderId="0" xfId="28" applyFont="1" applyAlignment="1">
      <alignment horizontal="center"/>
      <protection/>
    </xf>
    <xf numFmtId="0" fontId="12" fillId="0" borderId="6" xfId="28" applyFont="1" applyBorder="1">
      <alignment/>
      <protection/>
    </xf>
    <xf numFmtId="0" fontId="12" fillId="0" borderId="7" xfId="28" applyFont="1" applyBorder="1" applyAlignment="1">
      <alignment horizontal="center"/>
      <protection/>
    </xf>
    <xf numFmtId="3" fontId="12" fillId="0" borderId="7" xfId="28" applyNumberFormat="1" applyFont="1" applyBorder="1" applyAlignment="1">
      <alignment horizontal="center"/>
      <protection/>
    </xf>
    <xf numFmtId="0" fontId="12" fillId="0" borderId="21" xfId="28" applyFont="1" applyBorder="1" applyAlignment="1">
      <alignment horizontal="center"/>
      <protection/>
    </xf>
    <xf numFmtId="0" fontId="18" fillId="0" borderId="0" xfId="28" applyNumberFormat="1">
      <alignment/>
      <protection/>
    </xf>
    <xf numFmtId="0" fontId="21" fillId="0" borderId="0" xfId="0" applyFont="1" applyAlignment="1">
      <alignment/>
    </xf>
    <xf numFmtId="0" fontId="16" fillId="0" borderId="4" xfId="0" applyFont="1" applyBorder="1" applyAlignment="1">
      <alignment horizontal="center"/>
    </xf>
    <xf numFmtId="0" fontId="16" fillId="4" borderId="4" xfId="0" applyFont="1" applyFill="1" applyBorder="1" applyAlignment="1">
      <alignment/>
    </xf>
    <xf numFmtId="0" fontId="16" fillId="4" borderId="8" xfId="0" applyFont="1" applyFill="1" applyBorder="1" applyAlignment="1">
      <alignment horizontal="center"/>
    </xf>
    <xf numFmtId="0" fontId="16" fillId="4" borderId="16" xfId="0" applyFont="1" applyFill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4" borderId="23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4" borderId="4" xfId="0" applyFont="1" applyFill="1" applyBorder="1" applyAlignment="1">
      <alignment/>
    </xf>
    <xf numFmtId="0" fontId="22" fillId="0" borderId="2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4" borderId="4" xfId="0" applyFont="1" applyFill="1" applyBorder="1" applyAlignment="1">
      <alignment/>
    </xf>
    <xf numFmtId="0" fontId="12" fillId="0" borderId="15" xfId="28" applyFont="1" applyBorder="1" applyAlignment="1">
      <alignment horizontal="center"/>
      <protection/>
    </xf>
    <xf numFmtId="0" fontId="20" fillId="0" borderId="5" xfId="28" applyFont="1" applyBorder="1">
      <alignment/>
      <protection/>
    </xf>
    <xf numFmtId="0" fontId="12" fillId="0" borderId="24" xfId="28" applyFont="1" applyBorder="1">
      <alignment/>
      <protection/>
    </xf>
    <xf numFmtId="0" fontId="18" fillId="0" borderId="25" xfId="28" applyBorder="1">
      <alignment/>
      <protection/>
    </xf>
    <xf numFmtId="0" fontId="11" fillId="0" borderId="26" xfId="28" applyFont="1" applyBorder="1" applyAlignment="1">
      <alignment horizontal="center"/>
      <protection/>
    </xf>
    <xf numFmtId="0" fontId="18" fillId="0" borderId="27" xfId="28" applyBorder="1">
      <alignment/>
      <protection/>
    </xf>
    <xf numFmtId="0" fontId="11" fillId="0" borderId="28" xfId="28" applyFont="1" applyBorder="1" applyAlignment="1">
      <alignment horizontal="center"/>
      <protection/>
    </xf>
    <xf numFmtId="0" fontId="12" fillId="0" borderId="5" xfId="28" applyFont="1" applyBorder="1" applyAlignment="1">
      <alignment horizontal="right"/>
      <protection/>
    </xf>
    <xf numFmtId="0" fontId="11" fillId="0" borderId="8" xfId="28" applyFont="1" applyBorder="1" applyAlignment="1">
      <alignment horizontal="center"/>
      <protection/>
    </xf>
    <xf numFmtId="0" fontId="11" fillId="0" borderId="18" xfId="28" applyFont="1" applyBorder="1" applyAlignment="1">
      <alignment horizontal="center"/>
      <protection/>
    </xf>
    <xf numFmtId="0" fontId="10" fillId="0" borderId="29" xfId="28" applyFont="1" applyBorder="1">
      <alignment/>
      <protection/>
    </xf>
    <xf numFmtId="0" fontId="24" fillId="0" borderId="24" xfId="28" applyFont="1" applyBorder="1">
      <alignment/>
      <protection/>
    </xf>
    <xf numFmtId="0" fontId="10" fillId="0" borderId="24" xfId="28" applyFont="1" applyBorder="1">
      <alignment/>
      <protection/>
    </xf>
    <xf numFmtId="0" fontId="0" fillId="0" borderId="15" xfId="0" applyBorder="1" applyAlignment="1">
      <alignment/>
    </xf>
    <xf numFmtId="0" fontId="11" fillId="2" borderId="8" xfId="0" applyFont="1" applyFill="1" applyBorder="1" applyAlignment="1">
      <alignment horizontal="center"/>
    </xf>
    <xf numFmtId="0" fontId="12" fillId="0" borderId="30" xfId="28" applyFont="1" applyBorder="1" applyAlignment="1">
      <alignment horizontal="center"/>
      <protection/>
    </xf>
    <xf numFmtId="0" fontId="12" fillId="0" borderId="31" xfId="28" applyFont="1" applyBorder="1" applyAlignment="1">
      <alignment horizontal="center"/>
      <protection/>
    </xf>
    <xf numFmtId="164" fontId="11" fillId="0" borderId="9" xfId="28" applyNumberFormat="1" applyFont="1" applyBorder="1">
      <alignment/>
      <protection/>
    </xf>
    <xf numFmtId="164" fontId="11" fillId="0" borderId="32" xfId="28" applyNumberFormat="1" applyFont="1" applyBorder="1">
      <alignment/>
      <protection/>
    </xf>
    <xf numFmtId="165" fontId="11" fillId="0" borderId="31" xfId="28" applyNumberFormat="1" applyFont="1" applyBorder="1">
      <alignment/>
      <protection/>
    </xf>
    <xf numFmtId="0" fontId="12" fillId="5" borderId="16" xfId="28" applyFont="1" applyFill="1" applyBorder="1" applyAlignment="1">
      <alignment horizontal="center"/>
      <protection/>
    </xf>
    <xf numFmtId="0" fontId="12" fillId="5" borderId="33" xfId="28" applyFont="1" applyFill="1" applyBorder="1" applyAlignment="1">
      <alignment horizontal="center"/>
      <protection/>
    </xf>
    <xf numFmtId="0" fontId="12" fillId="5" borderId="8" xfId="28" applyFont="1" applyFill="1" applyBorder="1" applyAlignment="1">
      <alignment horizontal="center"/>
      <protection/>
    </xf>
    <xf numFmtId="0" fontId="12" fillId="5" borderId="34" xfId="28" applyFont="1" applyFill="1" applyBorder="1" applyAlignment="1">
      <alignment horizontal="center"/>
      <protection/>
    </xf>
    <xf numFmtId="165" fontId="11" fillId="5" borderId="25" xfId="28" applyNumberFormat="1" applyFont="1" applyFill="1" applyBorder="1">
      <alignment/>
      <protection/>
    </xf>
    <xf numFmtId="0" fontId="11" fillId="5" borderId="35" xfId="28" applyFont="1" applyFill="1" applyBorder="1" applyAlignment="1">
      <alignment horizontal="center"/>
      <protection/>
    </xf>
    <xf numFmtId="165" fontId="12" fillId="5" borderId="25" xfId="28" applyNumberFormat="1" applyFont="1" applyFill="1" applyBorder="1">
      <alignment/>
      <protection/>
    </xf>
    <xf numFmtId="165" fontId="11" fillId="5" borderId="27" xfId="28" applyNumberFormat="1" applyFont="1" applyFill="1" applyBorder="1">
      <alignment/>
      <protection/>
    </xf>
    <xf numFmtId="0" fontId="11" fillId="5" borderId="36" xfId="28" applyFont="1" applyFill="1" applyBorder="1" applyAlignment="1">
      <alignment horizontal="center"/>
      <protection/>
    </xf>
    <xf numFmtId="165" fontId="11" fillId="5" borderId="8" xfId="28" applyNumberFormat="1" applyFont="1" applyFill="1" applyBorder="1">
      <alignment/>
      <protection/>
    </xf>
    <xf numFmtId="0" fontId="11" fillId="5" borderId="34" xfId="28" applyFont="1" applyFill="1" applyBorder="1" applyAlignment="1">
      <alignment horizontal="center"/>
      <protection/>
    </xf>
    <xf numFmtId="0" fontId="25" fillId="0" borderId="0" xfId="28" applyFont="1">
      <alignment/>
      <protection/>
    </xf>
    <xf numFmtId="0" fontId="26" fillId="0" borderId="0" xfId="28" applyFont="1">
      <alignment/>
      <protection/>
    </xf>
    <xf numFmtId="1" fontId="12" fillId="3" borderId="19" xfId="0" applyNumberFormat="1" applyFont="1" applyFill="1" applyBorder="1" applyAlignment="1">
      <alignment/>
    </xf>
    <xf numFmtId="1" fontId="12" fillId="3" borderId="20" xfId="0" applyNumberFormat="1" applyFont="1" applyFill="1" applyBorder="1" applyAlignment="1">
      <alignment/>
    </xf>
    <xf numFmtId="1" fontId="12" fillId="2" borderId="20" xfId="0" applyNumberFormat="1" applyFont="1" applyFill="1" applyBorder="1" applyAlignment="1">
      <alignment/>
    </xf>
    <xf numFmtId="1" fontId="12" fillId="3" borderId="21" xfId="0" applyNumberFormat="1" applyFont="1" applyFill="1" applyBorder="1" applyAlignment="1">
      <alignment/>
    </xf>
    <xf numFmtId="1" fontId="12" fillId="3" borderId="18" xfId="0" applyNumberFormat="1" applyFont="1" applyFill="1" applyBorder="1" applyAlignment="1">
      <alignment/>
    </xf>
    <xf numFmtId="0" fontId="27" fillId="2" borderId="3" xfId="0" applyFont="1" applyFill="1" applyBorder="1" applyAlignment="1">
      <alignment horizontal="right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9" fillId="2" borderId="3" xfId="0" applyFont="1" applyFill="1" applyBorder="1" applyAlignment="1">
      <alignment horizontal="right"/>
    </xf>
    <xf numFmtId="174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0" fontId="11" fillId="0" borderId="4" xfId="0" applyFont="1" applyBorder="1" applyAlignment="1">
      <alignment/>
    </xf>
    <xf numFmtId="0" fontId="6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40" xfId="0" applyFont="1" applyBorder="1" applyAlignment="1">
      <alignment horizontal="center"/>
    </xf>
    <xf numFmtId="164" fontId="22" fillId="0" borderId="0" xfId="0" applyNumberFormat="1" applyFont="1" applyAlignment="1">
      <alignment horizontal="left"/>
    </xf>
    <xf numFmtId="0" fontId="14" fillId="6" borderId="41" xfId="0" applyFont="1" applyFill="1" applyBorder="1" applyAlignment="1">
      <alignment horizontal="center"/>
    </xf>
    <xf numFmtId="0" fontId="0" fillId="0" borderId="0" xfId="27">
      <alignment/>
      <protection/>
    </xf>
    <xf numFmtId="2" fontId="0" fillId="0" borderId="0" xfId="27">
      <alignment/>
      <protection/>
    </xf>
    <xf numFmtId="164" fontId="32" fillId="2" borderId="4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NumberFormat="1" applyAlignment="1">
      <alignment/>
    </xf>
    <xf numFmtId="0" fontId="33" fillId="0" borderId="18" xfId="0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8" borderId="0" xfId="0" applyFill="1" applyAlignment="1">
      <alignment horizontal="right"/>
    </xf>
    <xf numFmtId="0" fontId="6" fillId="8" borderId="0" xfId="0" applyFont="1" applyFill="1" applyAlignment="1">
      <alignment/>
    </xf>
    <xf numFmtId="164" fontId="11" fillId="2" borderId="4" xfId="0" applyNumberFormat="1" applyFont="1" applyFill="1" applyBorder="1" applyAlignment="1">
      <alignment/>
    </xf>
    <xf numFmtId="164" fontId="12" fillId="4" borderId="4" xfId="0" applyNumberFormat="1" applyFont="1" applyFill="1" applyBorder="1" applyAlignment="1">
      <alignment/>
    </xf>
    <xf numFmtId="0" fontId="12" fillId="4" borderId="4" xfId="0" applyFont="1" applyFill="1" applyBorder="1" applyAlignment="1">
      <alignment/>
    </xf>
    <xf numFmtId="1" fontId="12" fillId="4" borderId="2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" fontId="13" fillId="3" borderId="8" xfId="0" applyNumberFormat="1" applyFont="1" applyFill="1" applyBorder="1" applyAlignment="1">
      <alignment/>
    </xf>
    <xf numFmtId="175" fontId="41" fillId="9" borderId="40" xfId="28" applyNumberFormat="1" applyFont="1" applyFill="1" applyBorder="1" applyAlignment="1">
      <alignment horizontal="center"/>
      <protection/>
    </xf>
    <xf numFmtId="0" fontId="28" fillId="0" borderId="4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4" fillId="6" borderId="44" xfId="0" applyFont="1" applyFill="1" applyBorder="1" applyAlignment="1">
      <alignment horizontal="center"/>
    </xf>
    <xf numFmtId="0" fontId="0" fillId="6" borderId="45" xfId="0" applyFill="1" applyBorder="1" applyAlignment="1">
      <alignment/>
    </xf>
    <xf numFmtId="0" fontId="9" fillId="0" borderId="42" xfId="0" applyFont="1" applyBorder="1" applyAlignment="1">
      <alignment horizontal="center"/>
    </xf>
    <xf numFmtId="0" fontId="42" fillId="5" borderId="46" xfId="0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/>
    </xf>
    <xf numFmtId="0" fontId="40" fillId="0" borderId="0" xfId="28" applyFont="1" applyAlignment="1">
      <alignment vertical="top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right"/>
    </xf>
    <xf numFmtId="0" fontId="43" fillId="7" borderId="0" xfId="0" applyFont="1" applyFill="1" applyBorder="1" applyAlignment="1">
      <alignment horizontal="left"/>
    </xf>
    <xf numFmtId="0" fontId="44" fillId="0" borderId="0" xfId="28" applyFont="1">
      <alignment/>
      <protection/>
    </xf>
    <xf numFmtId="0" fontId="6" fillId="0" borderId="0" xfId="27" applyFont="1">
      <alignment/>
      <protection/>
    </xf>
    <xf numFmtId="0" fontId="14" fillId="0" borderId="0" xfId="27" applyFont="1">
      <alignment/>
      <protection/>
    </xf>
    <xf numFmtId="0" fontId="0" fillId="0" borderId="47" xfId="27" applyBorder="1">
      <alignment/>
      <protection/>
    </xf>
    <xf numFmtId="2" fontId="9" fillId="0" borderId="0" xfId="27" applyFont="1">
      <alignment/>
      <protection/>
    </xf>
    <xf numFmtId="0" fontId="0" fillId="0" borderId="48" xfId="27" applyBorder="1">
      <alignment/>
      <protection/>
    </xf>
    <xf numFmtId="0" fontId="11" fillId="2" borderId="4" xfId="0" applyFont="1" applyFill="1" applyBorder="1" applyAlignment="1">
      <alignment/>
    </xf>
    <xf numFmtId="0" fontId="16" fillId="0" borderId="0" xfId="0" applyFont="1" applyAlignment="1">
      <alignment horizontal="right" wrapText="1"/>
    </xf>
    <xf numFmtId="164" fontId="13" fillId="5" borderId="0" xfId="0" applyNumberFormat="1" applyFont="1" applyFill="1" applyBorder="1" applyAlignment="1">
      <alignment horizontal="centerContinuous"/>
    </xf>
    <xf numFmtId="0" fontId="38" fillId="1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right"/>
    </xf>
    <xf numFmtId="164" fontId="12" fillId="3" borderId="49" xfId="0" applyNumberFormat="1" applyFont="1" applyFill="1" applyBorder="1" applyAlignment="1">
      <alignment/>
    </xf>
    <xf numFmtId="1" fontId="13" fillId="3" borderId="49" xfId="0" applyNumberFormat="1" applyFont="1" applyFill="1" applyBorder="1" applyAlignment="1">
      <alignment/>
    </xf>
    <xf numFmtId="1" fontId="12" fillId="3" borderId="50" xfId="0" applyNumberFormat="1" applyFont="1" applyFill="1" applyBorder="1" applyAlignment="1">
      <alignment/>
    </xf>
    <xf numFmtId="164" fontId="46" fillId="0" borderId="51" xfId="0" applyNumberFormat="1" applyFont="1" applyFill="1" applyBorder="1" applyAlignment="1">
      <alignment/>
    </xf>
    <xf numFmtId="0" fontId="47" fillId="0" borderId="0" xfId="0" applyFont="1" applyAlignment="1">
      <alignment horizontal="right"/>
    </xf>
    <xf numFmtId="0" fontId="9" fillId="0" borderId="47" xfId="27" applyFont="1" applyBorder="1" applyAlignment="1">
      <alignment horizontal="center"/>
      <protection/>
    </xf>
    <xf numFmtId="0" fontId="14" fillId="0" borderId="48" xfId="27" applyFont="1" applyBorder="1">
      <alignment/>
      <protection/>
    </xf>
    <xf numFmtId="0" fontId="8" fillId="0" borderId="0" xfId="27" applyFont="1">
      <alignment/>
      <protection/>
    </xf>
    <xf numFmtId="2" fontId="0" fillId="0" borderId="48" xfId="27" applyBorder="1">
      <alignment/>
      <protection/>
    </xf>
    <xf numFmtId="0" fontId="0" fillId="0" borderId="0" xfId="27" applyFill="1">
      <alignment/>
      <protection/>
    </xf>
    <xf numFmtId="3" fontId="49" fillId="5" borderId="4" xfId="28" applyNumberFormat="1" applyFont="1" applyFill="1" applyBorder="1" applyAlignment="1">
      <alignment horizontal="center"/>
      <protection/>
    </xf>
    <xf numFmtId="0" fontId="49" fillId="5" borderId="4" xfId="28" applyFont="1" applyFill="1" applyBorder="1" applyAlignment="1">
      <alignment horizontal="center"/>
      <protection/>
    </xf>
    <xf numFmtId="0" fontId="12" fillId="5" borderId="4" xfId="0" applyFont="1" applyFill="1" applyBorder="1" applyAlignment="1">
      <alignment/>
    </xf>
    <xf numFmtId="2" fontId="9" fillId="11" borderId="0" xfId="27" applyFont="1" applyFill="1">
      <alignment/>
      <protection/>
    </xf>
    <xf numFmtId="2" fontId="9" fillId="12" borderId="0" xfId="27" applyFont="1" applyFill="1">
      <alignment/>
      <protection/>
    </xf>
    <xf numFmtId="2" fontId="12" fillId="5" borderId="2" xfId="0" applyNumberFormat="1" applyFont="1" applyFill="1" applyBorder="1" applyAlignment="1">
      <alignment/>
    </xf>
    <xf numFmtId="164" fontId="11" fillId="13" borderId="9" xfId="28" applyNumberFormat="1" applyFont="1" applyFill="1" applyBorder="1">
      <alignment/>
      <protection/>
    </xf>
    <xf numFmtId="2" fontId="7" fillId="0" borderId="0" xfId="27" applyNumberFormat="1" applyFont="1">
      <alignment vertical="top"/>
      <protection/>
    </xf>
    <xf numFmtId="0" fontId="50" fillId="0" borderId="0" xfId="0" applyFont="1" applyAlignment="1">
      <alignment/>
    </xf>
    <xf numFmtId="0" fontId="10" fillId="0" borderId="5" xfId="0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/>
    </xf>
    <xf numFmtId="164" fontId="20" fillId="3" borderId="4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2" fontId="35" fillId="0" borderId="52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51" fillId="0" borderId="0" xfId="0" applyFont="1" applyAlignment="1">
      <alignment/>
    </xf>
    <xf numFmtId="0" fontId="44" fillId="0" borderId="0" xfId="0" applyFont="1" applyAlignment="1">
      <alignment/>
    </xf>
    <xf numFmtId="0" fontId="9" fillId="0" borderId="0" xfId="27" applyFont="1">
      <alignment/>
      <protection/>
    </xf>
    <xf numFmtId="0" fontId="6" fillId="0" borderId="0" xfId="27" applyFont="1" applyFill="1">
      <alignment/>
      <protection/>
    </xf>
    <xf numFmtId="0" fontId="0" fillId="0" borderId="48" xfId="27" applyFill="1" applyBorder="1">
      <alignment/>
      <protection/>
    </xf>
    <xf numFmtId="0" fontId="6" fillId="0" borderId="48" xfId="27" applyFont="1" applyFill="1" applyBorder="1">
      <alignment/>
      <protection/>
    </xf>
    <xf numFmtId="164" fontId="9" fillId="2" borderId="53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7" fillId="0" borderId="0" xfId="28" applyFont="1">
      <alignment/>
      <protection/>
    </xf>
    <xf numFmtId="0" fontId="58" fillId="5" borderId="0" xfId="28" applyFont="1" applyFill="1">
      <alignment/>
      <protection/>
    </xf>
    <xf numFmtId="0" fontId="59" fillId="13" borderId="0" xfId="28" applyFont="1" applyFill="1">
      <alignment/>
      <protection/>
    </xf>
    <xf numFmtId="0" fontId="60" fillId="0" borderId="0" xfId="28" applyFont="1">
      <alignment/>
      <protection/>
    </xf>
    <xf numFmtId="0" fontId="18" fillId="14" borderId="0" xfId="28" applyFill="1">
      <alignment/>
      <protection/>
    </xf>
    <xf numFmtId="0" fontId="61" fillId="0" borderId="0" xfId="28" applyFont="1">
      <alignment/>
      <protection/>
    </xf>
    <xf numFmtId="0" fontId="18" fillId="0" borderId="47" xfId="28" applyFont="1" applyBorder="1">
      <alignment/>
      <protection/>
    </xf>
    <xf numFmtId="0" fontId="18" fillId="0" borderId="47" xfId="28" applyFont="1" applyBorder="1" applyAlignment="1">
      <alignment horizontal="center"/>
      <protection/>
    </xf>
    <xf numFmtId="0" fontId="60" fillId="13" borderId="0" xfId="28" applyFont="1" applyFill="1">
      <alignment/>
      <protection/>
    </xf>
    <xf numFmtId="9" fontId="18" fillId="0" borderId="0" xfId="29" applyAlignment="1">
      <alignment/>
    </xf>
    <xf numFmtId="0" fontId="62" fillId="10" borderId="0" xfId="28" applyFont="1" applyFill="1">
      <alignment/>
      <protection/>
    </xf>
    <xf numFmtId="9" fontId="60" fillId="0" borderId="0" xfId="29" applyFont="1" applyAlignment="1">
      <alignment/>
    </xf>
    <xf numFmtId="0" fontId="63" fillId="10" borderId="0" xfId="28" applyFont="1" applyFill="1">
      <alignment/>
      <protection/>
    </xf>
    <xf numFmtId="0" fontId="18" fillId="0" borderId="31" xfId="28" applyFont="1" applyBorder="1" applyAlignment="1">
      <alignment horizontal="center"/>
      <protection/>
    </xf>
    <xf numFmtId="0" fontId="18" fillId="0" borderId="0" xfId="28" applyBorder="1">
      <alignment/>
      <protection/>
    </xf>
    <xf numFmtId="164" fontId="60" fillId="0" borderId="0" xfId="28" applyNumberFormat="1" applyFont="1" applyBorder="1">
      <alignment/>
      <protection/>
    </xf>
    <xf numFmtId="2" fontId="60" fillId="0" borderId="0" xfId="28" applyNumberFormat="1" applyFont="1" applyBorder="1">
      <alignment/>
      <protection/>
    </xf>
    <xf numFmtId="2" fontId="60" fillId="0" borderId="9" xfId="28" applyNumberFormat="1" applyFont="1" applyBorder="1">
      <alignment/>
      <protection/>
    </xf>
    <xf numFmtId="2" fontId="62" fillId="0" borderId="0" xfId="28" applyNumberFormat="1" applyFont="1" applyBorder="1">
      <alignment/>
      <protection/>
    </xf>
    <xf numFmtId="2" fontId="62" fillId="0" borderId="9" xfId="28" applyNumberFormat="1" applyFont="1" applyBorder="1">
      <alignment/>
      <protection/>
    </xf>
    <xf numFmtId="2" fontId="63" fillId="0" borderId="0" xfId="28" applyNumberFormat="1" applyFont="1" applyBorder="1">
      <alignment/>
      <protection/>
    </xf>
    <xf numFmtId="2" fontId="63" fillId="0" borderId="9" xfId="28" applyNumberFormat="1" applyFont="1" applyBorder="1">
      <alignment/>
      <protection/>
    </xf>
    <xf numFmtId="1" fontId="58" fillId="5" borderId="0" xfId="28" applyNumberFormat="1" applyFont="1" applyFill="1">
      <alignment/>
      <protection/>
    </xf>
    <xf numFmtId="1" fontId="59" fillId="13" borderId="0" xfId="28" applyNumberFormat="1" applyFont="1" applyFill="1">
      <alignment/>
      <protection/>
    </xf>
    <xf numFmtId="1" fontId="60" fillId="0" borderId="0" xfId="28" applyNumberFormat="1" applyFont="1">
      <alignment/>
      <protection/>
    </xf>
    <xf numFmtId="1" fontId="18" fillId="0" borderId="0" xfId="28" applyNumberFormat="1">
      <alignment/>
      <protection/>
    </xf>
    <xf numFmtId="1" fontId="63" fillId="10" borderId="0" xfId="28" applyNumberFormat="1" applyFont="1" applyFill="1">
      <alignment/>
      <protection/>
    </xf>
    <xf numFmtId="1" fontId="60" fillId="13" borderId="0" xfId="28" applyNumberFormat="1" applyFont="1" applyFill="1">
      <alignment/>
      <protection/>
    </xf>
    <xf numFmtId="0" fontId="62" fillId="8" borderId="0" xfId="28" applyFont="1" applyFill="1">
      <alignment/>
      <protection/>
    </xf>
    <xf numFmtId="1" fontId="62" fillId="8" borderId="0" xfId="28" applyNumberFormat="1" applyFont="1" applyFill="1">
      <alignment/>
      <protection/>
    </xf>
    <xf numFmtId="1" fontId="60" fillId="0" borderId="0" xfId="28" applyNumberFormat="1" applyFont="1" applyBorder="1">
      <alignment/>
      <protection/>
    </xf>
    <xf numFmtId="1" fontId="18" fillId="0" borderId="0" xfId="28" applyNumberFormat="1" applyBorder="1">
      <alignment/>
      <protection/>
    </xf>
    <xf numFmtId="1" fontId="62" fillId="0" borderId="9" xfId="28" applyNumberFormat="1" applyFont="1" applyBorder="1">
      <alignment/>
      <protection/>
    </xf>
    <xf numFmtId="1" fontId="59" fillId="0" borderId="9" xfId="28" applyNumberFormat="1" applyFont="1" applyBorder="1">
      <alignment/>
      <protection/>
    </xf>
    <xf numFmtId="178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164" fontId="12" fillId="0" borderId="51" xfId="0" applyNumberFormat="1" applyFont="1" applyFill="1" applyBorder="1" applyAlignment="1">
      <alignment horizontal="right"/>
    </xf>
    <xf numFmtId="177" fontId="19" fillId="0" borderId="0" xfId="0" applyNumberFormat="1" applyFont="1" applyAlignment="1">
      <alignment/>
    </xf>
    <xf numFmtId="180" fontId="19" fillId="0" borderId="51" xfId="0" applyNumberFormat="1" applyFont="1" applyFill="1" applyBorder="1" applyAlignment="1">
      <alignment/>
    </xf>
    <xf numFmtId="1" fontId="62" fillId="5" borderId="9" xfId="28" applyNumberFormat="1" applyFont="1" applyFill="1" applyBorder="1">
      <alignment/>
      <protection/>
    </xf>
    <xf numFmtId="1" fontId="64" fillId="5" borderId="9" xfId="28" applyNumberFormat="1" applyFont="1" applyFill="1" applyBorder="1">
      <alignment/>
      <protection/>
    </xf>
    <xf numFmtId="1" fontId="64" fillId="10" borderId="0" xfId="28" applyNumberFormat="1" applyFont="1" applyFill="1">
      <alignment/>
      <protection/>
    </xf>
    <xf numFmtId="0" fontId="45" fillId="13" borderId="53" xfId="0" applyFont="1" applyFill="1" applyBorder="1" applyAlignment="1">
      <alignment/>
    </xf>
    <xf numFmtId="172" fontId="9" fillId="0" borderId="53" xfId="0" applyNumberFormat="1" applyFont="1" applyBorder="1" applyAlignment="1">
      <alignment horizontal="left"/>
    </xf>
    <xf numFmtId="0" fontId="39" fillId="2" borderId="53" xfId="0" applyFont="1" applyFill="1" applyBorder="1" applyAlignment="1">
      <alignment/>
    </xf>
    <xf numFmtId="172" fontId="22" fillId="0" borderId="53" xfId="0" applyNumberFormat="1" applyFont="1" applyBorder="1" applyAlignment="1">
      <alignment horizontal="left"/>
    </xf>
    <xf numFmtId="9" fontId="18" fillId="8" borderId="0" xfId="29" applyFill="1" applyAlignment="1">
      <alignment/>
    </xf>
    <xf numFmtId="0" fontId="18" fillId="8" borderId="0" xfId="28" applyFill="1">
      <alignment/>
      <protection/>
    </xf>
    <xf numFmtId="0" fontId="60" fillId="8" borderId="0" xfId="28" applyFont="1" applyFill="1">
      <alignment/>
      <protection/>
    </xf>
    <xf numFmtId="9" fontId="18" fillId="10" borderId="0" xfId="29" applyFill="1" applyAlignment="1">
      <alignment/>
    </xf>
    <xf numFmtId="9" fontId="18" fillId="13" borderId="0" xfId="29" applyFill="1" applyAlignment="1">
      <alignment/>
    </xf>
    <xf numFmtId="9" fontId="60" fillId="15" borderId="0" xfId="29" applyFont="1" applyFill="1" applyAlignment="1">
      <alignment/>
    </xf>
    <xf numFmtId="0" fontId="12" fillId="0" borderId="16" xfId="28" applyFont="1" applyBorder="1" applyAlignment="1">
      <alignment horizontal="center"/>
      <protection/>
    </xf>
    <xf numFmtId="0" fontId="6" fillId="0" borderId="54" xfId="0" applyFont="1" applyBorder="1" applyAlignment="1">
      <alignment wrapText="1"/>
    </xf>
    <xf numFmtId="0" fontId="43" fillId="0" borderId="0" xfId="28" applyFont="1" applyBorder="1" applyAlignment="1">
      <alignment horizontal="center"/>
      <protection/>
    </xf>
    <xf numFmtId="0" fontId="43" fillId="0" borderId="9" xfId="28" applyFont="1" applyBorder="1" applyAlignment="1">
      <alignment horizontal="center"/>
      <protection/>
    </xf>
    <xf numFmtId="0" fontId="43" fillId="0" borderId="0" xfId="28" applyFont="1" applyAlignment="1">
      <alignment horizontal="center"/>
      <protection/>
    </xf>
    <xf numFmtId="0" fontId="18" fillId="0" borderId="0" xfId="28" applyFont="1" applyBorder="1" applyAlignment="1">
      <alignment horizontal="center"/>
      <protection/>
    </xf>
    <xf numFmtId="0" fontId="18" fillId="0" borderId="9" xfId="28" applyFont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0" fillId="0" borderId="0" xfId="0" applyAlignment="1">
      <alignment horizontal="left" wrapText="1"/>
    </xf>
    <xf numFmtId="2" fontId="48" fillId="0" borderId="48" xfId="27" applyFont="1" applyBorder="1" applyAlignment="1">
      <alignment horizontal="center"/>
      <protection/>
    </xf>
    <xf numFmtId="0" fontId="47" fillId="0" borderId="0" xfId="27" applyFont="1" applyAlignment="1">
      <alignment horizontal="center"/>
      <protection/>
    </xf>
    <xf numFmtId="0" fontId="0" fillId="0" borderId="0" xfId="27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G1000WB" xfId="27"/>
    <cellStyle name="Normal_SHEET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28</xdr:col>
      <xdr:colOff>438150</xdr:colOff>
      <xdr:row>45</xdr:row>
      <xdr:rowOff>123825</xdr:rowOff>
    </xdr:to>
    <xdr:grpSp>
      <xdr:nvGrpSpPr>
        <xdr:cNvPr id="1" name="Group 16"/>
        <xdr:cNvGrpSpPr>
          <a:grpSpLocks/>
        </xdr:cNvGrpSpPr>
      </xdr:nvGrpSpPr>
      <xdr:grpSpPr>
        <a:xfrm>
          <a:off x="3048000" y="0"/>
          <a:ext cx="12906375" cy="7648575"/>
          <a:chOff x="0" y="0"/>
          <a:chExt cx="1334" cy="77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8" y="142"/>
            <a:ext cx="966" cy="63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2"/>
          <xdr:cNvSpPr>
            <a:spLocks/>
          </xdr:cNvSpPr>
        </xdr:nvSpPr>
        <xdr:spPr>
          <a:xfrm flipH="1">
            <a:off x="0" y="212"/>
            <a:ext cx="1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414" y="0"/>
            <a:ext cx="0" cy="7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8" y="212"/>
            <a:ext cx="345" cy="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59" y="178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63" y="18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68" y="212"/>
            <a:ext cx="949" cy="142"/>
          </a:xfrm>
          <a:prstGeom prst="line">
            <a:avLst/>
          </a:prstGeom>
          <a:noFill/>
          <a:ln w="1270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68" y="212"/>
            <a:ext cx="937" cy="141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68" y="212"/>
            <a:ext cx="969" cy="14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610" y="249"/>
            <a:ext cx="0" cy="4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669" y="258"/>
            <a:ext cx="0" cy="41"/>
          </a:xfrm>
          <a:prstGeom prst="line">
            <a:avLst/>
          </a:prstGeom>
          <a:noFill/>
          <a:ln w="15875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760" y="264"/>
            <a:ext cx="0" cy="49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575" y="209"/>
            <a:ext cx="69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Solo 
= 50 knots</a:t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652" y="209"/>
            <a:ext cx="69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2 Pilots - 
No ballast 
= 56 knots</a:t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749" y="225"/>
            <a:ext cx="7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Max Gross 
= 65 knots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7">
      <selection activeCell="B12" sqref="B12"/>
    </sheetView>
  </sheetViews>
  <sheetFormatPr defaultColWidth="9.140625" defaultRowHeight="12.75"/>
  <cols>
    <col min="1" max="1" width="30.8515625" style="0" customWidth="1"/>
    <col min="2" max="2" width="18.140625" style="0" customWidth="1"/>
    <col min="3" max="3" width="17.140625" style="0" customWidth="1"/>
    <col min="4" max="4" width="18.00390625" style="0" customWidth="1"/>
    <col min="5" max="5" width="17.140625" style="0" customWidth="1"/>
    <col min="7" max="8" width="19.28125" style="0" customWidth="1"/>
    <col min="9" max="9" width="20.00390625" style="0" customWidth="1"/>
    <col min="10" max="10" width="52.8515625" style="0" customWidth="1"/>
    <col min="11" max="11" width="12.421875" style="0" customWidth="1"/>
    <col min="12" max="12" width="10.7109375" style="0" customWidth="1"/>
  </cols>
  <sheetData>
    <row r="1" ht="26.25">
      <c r="A1" s="204" t="s">
        <v>177</v>
      </c>
    </row>
    <row r="2" spans="1:7" ht="20.25">
      <c r="A2" s="16" t="s">
        <v>176</v>
      </c>
      <c r="B2" s="205" t="s">
        <v>175</v>
      </c>
      <c r="G2" t="s">
        <v>194</v>
      </c>
    </row>
    <row r="3" spans="1:2" ht="20.25">
      <c r="A3" s="212" t="s">
        <v>181</v>
      </c>
      <c r="B3" s="205"/>
    </row>
    <row r="4" spans="1:4" ht="23.25" thickBot="1">
      <c r="A4" s="195" t="s">
        <v>179</v>
      </c>
      <c r="B4" s="5" t="s">
        <v>195</v>
      </c>
      <c r="C4" s="247">
        <v>17.53</v>
      </c>
      <c r="D4" s="248">
        <f>C4*10.76391</f>
        <v>188.6913423</v>
      </c>
    </row>
    <row r="5" spans="1:5" ht="16.5" thickTop="1">
      <c r="A5" s="95"/>
      <c r="B5" s="265" t="s">
        <v>60</v>
      </c>
      <c r="C5" s="265"/>
      <c r="D5" s="41" t="s">
        <v>63</v>
      </c>
      <c r="E5" s="42" t="s">
        <v>69</v>
      </c>
    </row>
    <row r="6" spans="1:5" s="6" customFormat="1" ht="16.5" thickBot="1">
      <c r="A6" s="196" t="s">
        <v>173</v>
      </c>
      <c r="B6" s="96" t="s">
        <v>1</v>
      </c>
      <c r="C6" s="44" t="s">
        <v>61</v>
      </c>
      <c r="D6" s="44" t="s">
        <v>153</v>
      </c>
      <c r="E6" s="45" t="s">
        <v>154</v>
      </c>
    </row>
    <row r="7" spans="1:9" ht="16.5" thickTop="1">
      <c r="A7" s="7" t="s">
        <v>8</v>
      </c>
      <c r="B7" s="8">
        <f>C7*$H$7</f>
        <v>925.7689999999999</v>
      </c>
      <c r="C7" s="211">
        <v>418.9</v>
      </c>
      <c r="D7" s="192">
        <f>'Actual Empty Wgts &amp; Moments'!$F$21</f>
        <v>704.4675898292944</v>
      </c>
      <c r="E7" s="115">
        <f aca="true" t="shared" si="0" ref="E7:E18">D7*C7</f>
        <v>295101.4733794914</v>
      </c>
      <c r="G7" s="16" t="s">
        <v>12</v>
      </c>
      <c r="H7" s="17">
        <v>2.21</v>
      </c>
      <c r="I7" s="17"/>
    </row>
    <row r="8" spans="1:13" ht="15.75">
      <c r="A8" s="9" t="s">
        <v>5</v>
      </c>
      <c r="B8" s="10">
        <f>C8*$H$7</f>
        <v>0</v>
      </c>
      <c r="C8" s="22">
        <v>0</v>
      </c>
      <c r="D8" s="10">
        <v>-1960</v>
      </c>
      <c r="E8" s="116">
        <f t="shared" si="0"/>
        <v>0</v>
      </c>
      <c r="G8" s="16" t="s">
        <v>14</v>
      </c>
      <c r="H8" s="150">
        <v>154</v>
      </c>
      <c r="I8" s="17" t="s">
        <v>1</v>
      </c>
      <c r="K8">
        <v>1960</v>
      </c>
      <c r="L8" s="135">
        <f aca="true" t="shared" si="1" ref="L8:L18">SIGN(K8)</f>
        <v>1</v>
      </c>
      <c r="M8" s="10">
        <f aca="true" t="shared" si="2" ref="M8:M18">IF(L8&lt;=0,ABS(K8),0-K8)</f>
        <v>-1960</v>
      </c>
    </row>
    <row r="9" spans="1:13" ht="15.75">
      <c r="A9" s="9" t="s">
        <v>6</v>
      </c>
      <c r="B9" s="127">
        <v>190</v>
      </c>
      <c r="C9" s="23">
        <f aca="true" t="shared" si="3" ref="C9:C14">B9/$H$7</f>
        <v>85.97285067873304</v>
      </c>
      <c r="D9" s="10">
        <v>-1350</v>
      </c>
      <c r="E9" s="116">
        <f t="shared" si="0"/>
        <v>-116063.3484162896</v>
      </c>
      <c r="G9" s="16" t="s">
        <v>13</v>
      </c>
      <c r="H9" s="150">
        <v>242</v>
      </c>
      <c r="I9" s="17" t="s">
        <v>1</v>
      </c>
      <c r="K9">
        <v>1350</v>
      </c>
      <c r="L9" s="135">
        <f t="shared" si="1"/>
        <v>1</v>
      </c>
      <c r="M9" s="10">
        <f t="shared" si="2"/>
        <v>-1350</v>
      </c>
    </row>
    <row r="10" spans="1:13" ht="15.75">
      <c r="A10" s="9" t="s">
        <v>7</v>
      </c>
      <c r="B10" s="127">
        <v>140</v>
      </c>
      <c r="C10" s="23">
        <f t="shared" si="3"/>
        <v>63.34841628959276</v>
      </c>
      <c r="D10" s="10">
        <v>-280</v>
      </c>
      <c r="E10" s="116">
        <f t="shared" si="0"/>
        <v>-17737.556561085974</v>
      </c>
      <c r="G10" s="16" t="s">
        <v>28</v>
      </c>
      <c r="H10" s="17">
        <v>33</v>
      </c>
      <c r="I10" s="17" t="s">
        <v>1</v>
      </c>
      <c r="K10">
        <v>280</v>
      </c>
      <c r="L10" s="135">
        <f t="shared" si="1"/>
        <v>1</v>
      </c>
      <c r="M10" s="10">
        <f t="shared" si="2"/>
        <v>-280</v>
      </c>
    </row>
    <row r="11" spans="1:13" ht="15.75">
      <c r="A11" s="120" t="s">
        <v>160</v>
      </c>
      <c r="B11" s="127">
        <v>5</v>
      </c>
      <c r="C11" s="23">
        <f t="shared" si="3"/>
        <v>2.262443438914027</v>
      </c>
      <c r="D11" s="10">
        <f>'Other CG Positions'!$E$5</f>
        <v>270</v>
      </c>
      <c r="E11" s="116">
        <f t="shared" si="0"/>
        <v>610.8597285067873</v>
      </c>
      <c r="G11" s="16" t="s">
        <v>22</v>
      </c>
      <c r="H11" s="150">
        <v>463</v>
      </c>
      <c r="I11" s="17" t="s">
        <v>1</v>
      </c>
      <c r="K11">
        <v>-270</v>
      </c>
      <c r="L11" s="135">
        <f t="shared" si="1"/>
        <v>-1</v>
      </c>
      <c r="M11" s="10">
        <f t="shared" si="2"/>
        <v>270</v>
      </c>
    </row>
    <row r="12" spans="1:13" ht="18.75">
      <c r="A12" s="124" t="s">
        <v>113</v>
      </c>
      <c r="B12" s="11">
        <v>5</v>
      </c>
      <c r="C12" s="23">
        <f t="shared" si="3"/>
        <v>2.262443438914027</v>
      </c>
      <c r="D12" s="189">
        <v>-275</v>
      </c>
      <c r="E12" s="116">
        <f t="shared" si="0"/>
        <v>-622.1719457013575</v>
      </c>
      <c r="G12" s="18" t="s">
        <v>15</v>
      </c>
      <c r="H12" s="19">
        <v>190</v>
      </c>
      <c r="I12" s="19" t="s">
        <v>16</v>
      </c>
      <c r="K12">
        <v>275</v>
      </c>
      <c r="L12" s="135">
        <f t="shared" si="1"/>
        <v>1</v>
      </c>
      <c r="M12" s="189">
        <f t="shared" si="2"/>
        <v>-275</v>
      </c>
    </row>
    <row r="13" spans="1:13" ht="15.75">
      <c r="A13" s="120" t="s">
        <v>155</v>
      </c>
      <c r="B13" s="11">
        <v>0</v>
      </c>
      <c r="C13" s="23">
        <f t="shared" si="3"/>
        <v>0</v>
      </c>
      <c r="D13" s="189">
        <f>'Other CG Positions'!E9</f>
        <v>-1910</v>
      </c>
      <c r="E13" s="116">
        <f t="shared" si="0"/>
        <v>0</v>
      </c>
      <c r="G13" s="18" t="s">
        <v>17</v>
      </c>
      <c r="H13" s="19">
        <v>440</v>
      </c>
      <c r="I13" s="19" t="s">
        <v>16</v>
      </c>
      <c r="K13">
        <v>1910</v>
      </c>
      <c r="L13" s="135">
        <f t="shared" si="1"/>
        <v>1</v>
      </c>
      <c r="M13" s="189">
        <f t="shared" si="2"/>
        <v>-1910</v>
      </c>
    </row>
    <row r="14" spans="1:13" ht="15.75">
      <c r="A14" s="120" t="s">
        <v>156</v>
      </c>
      <c r="B14" s="11">
        <v>0</v>
      </c>
      <c r="C14" s="23">
        <f t="shared" si="3"/>
        <v>0</v>
      </c>
      <c r="D14" s="189">
        <f>'Other CG Positions'!E10</f>
        <v>-740</v>
      </c>
      <c r="E14" s="116">
        <f t="shared" si="0"/>
        <v>0</v>
      </c>
      <c r="G14" s="16" t="s">
        <v>19</v>
      </c>
      <c r="H14" s="17">
        <v>0.264</v>
      </c>
      <c r="I14" s="17"/>
      <c r="K14">
        <v>740</v>
      </c>
      <c r="L14" s="135">
        <f t="shared" si="1"/>
        <v>1</v>
      </c>
      <c r="M14" s="189">
        <f t="shared" si="2"/>
        <v>-740</v>
      </c>
    </row>
    <row r="15" spans="1:13" ht="15.75">
      <c r="A15" s="9" t="s">
        <v>18</v>
      </c>
      <c r="B15" s="10">
        <f>SUM(B9:B10)</f>
        <v>330</v>
      </c>
      <c r="C15" s="147"/>
      <c r="D15" s="148">
        <v>0</v>
      </c>
      <c r="E15" s="149"/>
      <c r="G15" s="16" t="s">
        <v>20</v>
      </c>
      <c r="H15" s="17">
        <v>354</v>
      </c>
      <c r="I15" s="17" t="s">
        <v>1</v>
      </c>
      <c r="L15" s="135">
        <f t="shared" si="1"/>
        <v>0</v>
      </c>
      <c r="M15" s="148">
        <f t="shared" si="2"/>
        <v>0</v>
      </c>
    </row>
    <row r="16" spans="1:13" ht="15.75">
      <c r="A16" s="9" t="s">
        <v>10</v>
      </c>
      <c r="B16" s="146">
        <f>'W&amp;B Calculator'!$I$29</f>
        <v>200.41818181818184</v>
      </c>
      <c r="C16" s="23">
        <f>B16/$H$7</f>
        <v>90.68696009872481</v>
      </c>
      <c r="D16" s="10">
        <v>206</v>
      </c>
      <c r="E16" s="116">
        <f t="shared" si="0"/>
        <v>18681.51378033731</v>
      </c>
      <c r="G16" s="16" t="s">
        <v>21</v>
      </c>
      <c r="H16" s="17">
        <v>13.7</v>
      </c>
      <c r="I16" s="17" t="s">
        <v>1</v>
      </c>
      <c r="K16">
        <v>-206</v>
      </c>
      <c r="L16" s="135">
        <f t="shared" si="1"/>
        <v>-1</v>
      </c>
      <c r="M16" s="10">
        <f t="shared" si="2"/>
        <v>206</v>
      </c>
    </row>
    <row r="17" spans="1:13" ht="15.75">
      <c r="A17" s="9" t="s">
        <v>11</v>
      </c>
      <c r="B17" s="172">
        <f>IF(B16&gt;0,VLOOKUP(B16,'Fin Ballast'!$D$5:$E$13,2),0)</f>
        <v>7.5</v>
      </c>
      <c r="C17" s="23">
        <f>B17/$H$7</f>
        <v>3.3936651583710407</v>
      </c>
      <c r="D17" s="10">
        <v>5260</v>
      </c>
      <c r="E17" s="116">
        <f t="shared" si="0"/>
        <v>17850.678733031673</v>
      </c>
      <c r="G17" s="16" t="s">
        <v>24</v>
      </c>
      <c r="H17" s="151">
        <v>1653</v>
      </c>
      <c r="I17" s="17" t="s">
        <v>1</v>
      </c>
      <c r="K17">
        <v>-5260</v>
      </c>
      <c r="L17" s="135">
        <f t="shared" si="1"/>
        <v>-1</v>
      </c>
      <c r="M17" s="10">
        <f t="shared" si="2"/>
        <v>5260</v>
      </c>
    </row>
    <row r="18" spans="1:13" ht="16.5" thickBot="1">
      <c r="A18" s="14" t="s">
        <v>9</v>
      </c>
      <c r="B18" s="161">
        <f>C18*$H$7</f>
        <v>26.52</v>
      </c>
      <c r="C18" s="161">
        <f>'W&amp;B Calculator'!$I$24</f>
        <v>12</v>
      </c>
      <c r="D18" s="15">
        <v>5400</v>
      </c>
      <c r="E18" s="118">
        <f t="shared" si="0"/>
        <v>64800</v>
      </c>
      <c r="G18" s="16" t="s">
        <v>23</v>
      </c>
      <c r="H18" s="20">
        <f>B7+H11+26.52</f>
        <v>1415.2889999999998</v>
      </c>
      <c r="I18" s="17" t="s">
        <v>1</v>
      </c>
      <c r="K18">
        <v>-5400</v>
      </c>
      <c r="L18" s="135">
        <f t="shared" si="1"/>
        <v>-1</v>
      </c>
      <c r="M18" s="15">
        <f t="shared" si="2"/>
        <v>5400</v>
      </c>
    </row>
    <row r="19" spans="1:9" ht="35.25" customHeight="1" thickBot="1">
      <c r="A19" s="13" t="s">
        <v>26</v>
      </c>
      <c r="B19" s="198">
        <f>SUM(B7:B18)-B15</f>
        <v>1500.2071818181817</v>
      </c>
      <c r="C19" s="177">
        <f>SUM(C7:C18)</f>
        <v>678.8267791032498</v>
      </c>
      <c r="D19" s="178">
        <f>E19/C19</f>
        <v>386.87549870266014</v>
      </c>
      <c r="E19" s="179">
        <f>SUM(E7:E18)</f>
        <v>262621.4486982903</v>
      </c>
      <c r="G19" s="173" t="s">
        <v>168</v>
      </c>
      <c r="H19" s="17">
        <v>1389</v>
      </c>
      <c r="I19" s="17" t="s">
        <v>1</v>
      </c>
    </row>
    <row r="20" spans="1:9" ht="35.25" customHeight="1" thickTop="1">
      <c r="A20" s="176"/>
      <c r="B20" s="180" t="s">
        <v>170</v>
      </c>
      <c r="C20" s="249" t="s">
        <v>196</v>
      </c>
      <c r="D20" s="250">
        <f>C19/C4</f>
        <v>38.72371814622075</v>
      </c>
      <c r="E20" s="251">
        <f>B19/D4</f>
        <v>7.950588318106324</v>
      </c>
      <c r="G20" s="173"/>
      <c r="H20" s="17"/>
      <c r="I20" s="17"/>
    </row>
    <row r="21" spans="1:7" ht="19.5" thickBot="1">
      <c r="A21" s="176"/>
      <c r="B21" s="174" t="s">
        <v>162</v>
      </c>
      <c r="C21" s="174"/>
      <c r="D21" s="175" t="s">
        <v>163</v>
      </c>
      <c r="E21" s="175"/>
      <c r="G21" s="129" t="s">
        <v>9</v>
      </c>
    </row>
    <row r="22" spans="1:9" ht="16.5" thickBot="1">
      <c r="A22" s="181" t="s">
        <v>115</v>
      </c>
      <c r="B22" s="255" t="str">
        <f>IF(B19&gt;$H$18,"Over dry-gross","Within Limits")</f>
        <v>Over dry-gross</v>
      </c>
      <c r="C22" s="256">
        <f>B19-$H$18</f>
        <v>84.91818181818189</v>
      </c>
      <c r="D22" s="257" t="str">
        <f>IF(B19&gt;$H$17,"Over wet-gross","Within Limits")</f>
        <v>Within Limits</v>
      </c>
      <c r="E22" s="258">
        <f>B19-$H$17</f>
        <v>-152.79281818181835</v>
      </c>
      <c r="G22" s="130" t="s">
        <v>117</v>
      </c>
      <c r="H22" s="131" t="s">
        <v>118</v>
      </c>
      <c r="I22" s="156" t="s">
        <v>119</v>
      </c>
    </row>
    <row r="23" spans="1:9" ht="18.75">
      <c r="A23" s="164" t="s">
        <v>161</v>
      </c>
      <c r="B23" s="152" t="str">
        <f>IF(D19&gt;$H$13,"Aft ot of CG Limits",IF(D19&lt;$H$12,"Forward of CG Limits","Within Limits"))</f>
        <v>Within Limits</v>
      </c>
      <c r="G23" s="157">
        <v>2.4</v>
      </c>
      <c r="H23" s="134">
        <v>1.2</v>
      </c>
      <c r="I23" s="158"/>
    </row>
    <row r="24" spans="1:9" ht="19.5" thickBot="1">
      <c r="A24" s="162" t="s">
        <v>164</v>
      </c>
      <c r="G24" s="132">
        <v>4</v>
      </c>
      <c r="H24" s="159">
        <v>2</v>
      </c>
      <c r="I24" s="160">
        <f>G24*G23+H24*H23</f>
        <v>12</v>
      </c>
    </row>
    <row r="25" spans="1:9" ht="88.5" customHeight="1" thickBot="1">
      <c r="A25" s="195" t="s">
        <v>178</v>
      </c>
      <c r="B25" s="5" t="s">
        <v>195</v>
      </c>
      <c r="C25" s="247">
        <v>16.72</v>
      </c>
      <c r="D25" s="248">
        <f>C25*10.76391</f>
        <v>179.97257519999997</v>
      </c>
      <c r="G25" s="266" t="s">
        <v>116</v>
      </c>
      <c r="H25" s="266"/>
      <c r="I25" s="266"/>
    </row>
    <row r="26" spans="1:10" ht="22.5" customHeight="1" thickTop="1">
      <c r="A26" s="95"/>
      <c r="B26" s="265" t="s">
        <v>60</v>
      </c>
      <c r="C26" s="265"/>
      <c r="D26" s="41" t="s">
        <v>63</v>
      </c>
      <c r="E26" s="42" t="s">
        <v>69</v>
      </c>
      <c r="J26" s="128"/>
    </row>
    <row r="27" spans="1:10" ht="18.75" thickBot="1">
      <c r="A27" s="196" t="s">
        <v>173</v>
      </c>
      <c r="B27" s="96" t="s">
        <v>1</v>
      </c>
      <c r="C27" s="44" t="s">
        <v>61</v>
      </c>
      <c r="D27" s="44" t="s">
        <v>153</v>
      </c>
      <c r="E27" s="45" t="s">
        <v>154</v>
      </c>
      <c r="G27" s="59" t="s">
        <v>111</v>
      </c>
      <c r="I27" s="154">
        <f>2.2046/0.264</f>
        <v>8.350757575757576</v>
      </c>
      <c r="J27" s="163"/>
    </row>
    <row r="28" spans="1:9" ht="17.25" thickBot="1" thickTop="1">
      <c r="A28" s="7" t="s">
        <v>8</v>
      </c>
      <c r="B28" s="8">
        <f>C28*$H$7</f>
        <v>914.498</v>
      </c>
      <c r="C28" s="211">
        <v>413.8</v>
      </c>
      <c r="D28" s="192">
        <f>'Actual Empty Wgts &amp; Moments'!$E$21</f>
        <v>710.2858006042297</v>
      </c>
      <c r="E28" s="115">
        <f aca="true" t="shared" si="4" ref="E28:E35">D28*C28</f>
        <v>293916.2642900303</v>
      </c>
      <c r="G28" s="121" t="s">
        <v>109</v>
      </c>
      <c r="H28" s="122" t="s">
        <v>112</v>
      </c>
      <c r="I28" s="123" t="s">
        <v>110</v>
      </c>
    </row>
    <row r="29" spans="1:9" ht="18.75" thickBot="1">
      <c r="A29" s="9" t="s">
        <v>5</v>
      </c>
      <c r="B29" s="10">
        <f>C29*$H$7</f>
        <v>0</v>
      </c>
      <c r="C29" s="22">
        <v>0</v>
      </c>
      <c r="D29" s="10">
        <v>-1960</v>
      </c>
      <c r="E29" s="116">
        <f t="shared" si="4"/>
        <v>0</v>
      </c>
      <c r="G29" s="155">
        <v>12</v>
      </c>
      <c r="H29" s="210">
        <f>I27*G29</f>
        <v>100.20909090909092</v>
      </c>
      <c r="I29" s="137">
        <f>IF(H29*2&gt;350,"over",H29*2)</f>
        <v>200.41818181818184</v>
      </c>
    </row>
    <row r="30" spans="1:8" ht="15.75">
      <c r="A30" s="9" t="s">
        <v>6</v>
      </c>
      <c r="B30" s="11">
        <v>190</v>
      </c>
      <c r="C30" s="23">
        <f aca="true" t="shared" si="5" ref="C30:C35">B30/$H$7</f>
        <v>85.97285067873304</v>
      </c>
      <c r="D30" s="10">
        <v>-1350</v>
      </c>
      <c r="E30" s="116">
        <f t="shared" si="4"/>
        <v>-116063.3484162896</v>
      </c>
      <c r="H30" s="199" t="s">
        <v>174</v>
      </c>
    </row>
    <row r="31" spans="1:9" ht="15.75">
      <c r="A31" s="9" t="s">
        <v>7</v>
      </c>
      <c r="B31" s="11">
        <v>170</v>
      </c>
      <c r="C31" s="23">
        <f t="shared" si="5"/>
        <v>76.92307692307692</v>
      </c>
      <c r="D31" s="10">
        <v>-280</v>
      </c>
      <c r="E31" s="116">
        <f t="shared" si="4"/>
        <v>-21538.46153846154</v>
      </c>
      <c r="G31" s="165" t="s">
        <v>157</v>
      </c>
      <c r="H31" s="138"/>
      <c r="I31" s="138"/>
    </row>
    <row r="32" spans="1:9" ht="15.75">
      <c r="A32" s="120" t="s">
        <v>108</v>
      </c>
      <c r="B32" s="127">
        <v>0</v>
      </c>
      <c r="C32" s="23">
        <f t="shared" si="5"/>
        <v>0</v>
      </c>
      <c r="D32" s="10">
        <f>'Other CG Positions'!$E$5</f>
        <v>270</v>
      </c>
      <c r="E32" s="116">
        <f t="shared" si="4"/>
        <v>0</v>
      </c>
      <c r="H32" s="5" t="s">
        <v>114</v>
      </c>
      <c r="I32" s="125">
        <f>I27*5</f>
        <v>41.75378787878788</v>
      </c>
    </row>
    <row r="33" spans="1:9" ht="18.75">
      <c r="A33" s="124" t="s">
        <v>113</v>
      </c>
      <c r="B33" s="11">
        <v>0</v>
      </c>
      <c r="C33" s="23">
        <f t="shared" si="5"/>
        <v>0</v>
      </c>
      <c r="D33" s="189">
        <v>-275</v>
      </c>
      <c r="E33" s="116">
        <f t="shared" si="4"/>
        <v>0</v>
      </c>
      <c r="H33" s="5" t="s">
        <v>165</v>
      </c>
      <c r="I33" s="133">
        <f>G29/5</f>
        <v>2.4</v>
      </c>
    </row>
    <row r="34" spans="1:9" ht="15.75">
      <c r="A34" s="120" t="s">
        <v>155</v>
      </c>
      <c r="B34" s="11">
        <v>0</v>
      </c>
      <c r="C34" s="23">
        <f t="shared" si="5"/>
        <v>0</v>
      </c>
      <c r="D34" s="189">
        <f>'Other CG Positions'!E9</f>
        <v>-1910</v>
      </c>
      <c r="E34" s="116">
        <f t="shared" si="4"/>
        <v>0</v>
      </c>
      <c r="H34" s="5" t="s">
        <v>166</v>
      </c>
      <c r="I34" s="126">
        <f>I33*2</f>
        <v>4.8</v>
      </c>
    </row>
    <row r="35" spans="1:5" ht="15.75" customHeight="1">
      <c r="A35" s="120" t="s">
        <v>156</v>
      </c>
      <c r="B35" s="11">
        <v>0</v>
      </c>
      <c r="C35" s="23">
        <f t="shared" si="5"/>
        <v>0</v>
      </c>
      <c r="D35" s="189">
        <f>'Other CG Positions'!E10</f>
        <v>-740</v>
      </c>
      <c r="E35" s="116">
        <f t="shared" si="4"/>
        <v>0</v>
      </c>
    </row>
    <row r="36" spans="1:5" ht="15.75">
      <c r="A36" s="9" t="s">
        <v>18</v>
      </c>
      <c r="B36" s="10">
        <f>SUM(B30:B31)</f>
        <v>360</v>
      </c>
      <c r="C36" s="24"/>
      <c r="D36" s="12">
        <v>0</v>
      </c>
      <c r="E36" s="117"/>
    </row>
    <row r="37" spans="1:5" ht="15.75">
      <c r="A37" s="9" t="s">
        <v>10</v>
      </c>
      <c r="B37" s="146">
        <f>'W&amp;B Calculator'!$I$29</f>
        <v>200.41818181818184</v>
      </c>
      <c r="C37" s="23">
        <f>B37/$H$7</f>
        <v>90.68696009872481</v>
      </c>
      <c r="D37" s="10">
        <v>206</v>
      </c>
      <c r="E37" s="116">
        <f>D37*C37</f>
        <v>18681.51378033731</v>
      </c>
    </row>
    <row r="38" spans="1:5" ht="15.75">
      <c r="A38" s="9" t="s">
        <v>11</v>
      </c>
      <c r="B38" s="172">
        <f>IF(B37&gt;0,VLOOKUP(B37,'Fin Ballast'!$D$5:$E$13,2),0)</f>
        <v>7.5</v>
      </c>
      <c r="C38" s="23">
        <f>B38/$H$7</f>
        <v>3.3936651583710407</v>
      </c>
      <c r="D38" s="10">
        <v>5260</v>
      </c>
      <c r="E38" s="116">
        <f>D38*C38</f>
        <v>17850.678733031673</v>
      </c>
    </row>
    <row r="39" spans="1:5" ht="16.5" thickBot="1">
      <c r="A39" s="14" t="s">
        <v>9</v>
      </c>
      <c r="B39" s="161">
        <f>C39*$H$7</f>
        <v>26.52</v>
      </c>
      <c r="C39" s="161">
        <f>'W&amp;B Calculator'!$I$24</f>
        <v>12</v>
      </c>
      <c r="D39" s="15">
        <v>5400</v>
      </c>
      <c r="E39" s="118">
        <f>D39*C39</f>
        <v>64800</v>
      </c>
    </row>
    <row r="40" spans="1:5" ht="19.5" thickBot="1">
      <c r="A40" s="13" t="s">
        <v>26</v>
      </c>
      <c r="B40" s="197">
        <f>SUM(B28:B39)-B36</f>
        <v>1508.936181818182</v>
      </c>
      <c r="C40" s="21">
        <f>SUM(C28:C39)</f>
        <v>682.7765528589059</v>
      </c>
      <c r="D40" s="153">
        <f>E40/C40</f>
        <v>377.35133957051715</v>
      </c>
      <c r="E40" s="119">
        <f>SUM(E28:E39)</f>
        <v>257646.64684864815</v>
      </c>
    </row>
    <row r="41" spans="1:5" ht="21" thickTop="1">
      <c r="A41" s="176"/>
      <c r="B41" s="180" t="s">
        <v>171</v>
      </c>
      <c r="C41" s="249" t="s">
        <v>196</v>
      </c>
      <c r="D41" s="250">
        <f>C40/C25</f>
        <v>40.83591823318815</v>
      </c>
      <c r="E41" s="251">
        <f>B40/D25</f>
        <v>8.384256213155426</v>
      </c>
    </row>
    <row r="42" spans="1:5" ht="20.25" customHeight="1">
      <c r="A42" s="176"/>
      <c r="B42" s="174" t="s">
        <v>169</v>
      </c>
      <c r="C42" s="174"/>
      <c r="D42" s="175" t="s">
        <v>163</v>
      </c>
      <c r="E42" s="175"/>
    </row>
    <row r="43" spans="1:5" ht="16.5" thickBot="1">
      <c r="A43" s="181" t="s">
        <v>115</v>
      </c>
      <c r="B43" s="255" t="str">
        <f>IF(B40&gt;$H$19,"Over dry-gross","Within Limits")</f>
        <v>Over dry-gross</v>
      </c>
      <c r="C43" s="256">
        <f>B40-$H$19</f>
        <v>119.93618181818192</v>
      </c>
      <c r="D43" s="257" t="str">
        <f>IF(B40&gt;$H$17,"Over wet-gross","Within Limits")</f>
        <v>Within Limits</v>
      </c>
      <c r="E43" s="258">
        <f>B40-$H$17</f>
        <v>-144.06381818181808</v>
      </c>
    </row>
    <row r="44" spans="1:2" ht="18.75">
      <c r="A44" s="164" t="s">
        <v>161</v>
      </c>
      <c r="B44" s="152" t="str">
        <f>IF(D40&gt;$H$13,"Aft ot of CG Limits",IF(D40&lt;$H$12,"Forward of CG Limits","Within Limits"))</f>
        <v>Within Limits</v>
      </c>
    </row>
    <row r="45" ht="15.75">
      <c r="A45" s="162" t="s">
        <v>164</v>
      </c>
    </row>
  </sheetData>
  <sheetProtection password="C791" sheet="1" objects="1" scenarios="1"/>
  <protectedRanges>
    <protectedRange sqref="C8" name="Range2"/>
    <protectedRange sqref="B9:B14" name="Range1"/>
    <protectedRange sqref="B30:B35" name="Range3"/>
    <protectedRange sqref="C29" name="Range4"/>
    <protectedRange sqref="G24:H24" name="Range5"/>
    <protectedRange sqref="G29" name="Range6"/>
  </protectedRanges>
  <mergeCells count="3">
    <mergeCell ref="B5:C5"/>
    <mergeCell ref="B26:C26"/>
    <mergeCell ref="G25:I25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O9">
      <selection activeCell="K50" sqref="K50"/>
    </sheetView>
  </sheetViews>
  <sheetFormatPr defaultColWidth="9.140625" defaultRowHeight="12.75"/>
  <cols>
    <col min="1" max="5" width="9.140625" style="25" customWidth="1"/>
    <col min="6" max="8" width="8.00390625" style="25" customWidth="1"/>
    <col min="9" max="11" width="9.00390625" style="25" customWidth="1"/>
    <col min="12" max="16384" width="8.00390625" style="25" customWidth="1"/>
  </cols>
  <sheetData>
    <row r="1" ht="23.25">
      <c r="F1" s="213" t="s">
        <v>193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8.75">
      <c r="A17" s="39" t="s">
        <v>182</v>
      </c>
    </row>
    <row r="18" spans="3:5" ht="12.75">
      <c r="C18" s="227"/>
      <c r="D18" s="227">
        <v>1.943844</v>
      </c>
      <c r="E18" s="28"/>
    </row>
    <row r="19" spans="3:11" ht="13.5">
      <c r="C19" s="270" t="s">
        <v>185</v>
      </c>
      <c r="D19" s="270"/>
      <c r="E19" s="271"/>
      <c r="F19" s="267" t="s">
        <v>190</v>
      </c>
      <c r="G19" s="267"/>
      <c r="H19" s="268"/>
      <c r="I19" s="269" t="s">
        <v>192</v>
      </c>
      <c r="J19" s="269"/>
      <c r="K19" s="269"/>
    </row>
    <row r="20" spans="1:11" ht="13.5" thickBot="1">
      <c r="A20" s="219" t="s">
        <v>183</v>
      </c>
      <c r="B20" s="219" t="s">
        <v>184</v>
      </c>
      <c r="C20" s="220" t="s">
        <v>186</v>
      </c>
      <c r="D20" s="220" t="s">
        <v>187</v>
      </c>
      <c r="E20" s="226" t="s">
        <v>188</v>
      </c>
      <c r="F20" s="220" t="s">
        <v>186</v>
      </c>
      <c r="G20" s="220" t="s">
        <v>191</v>
      </c>
      <c r="H20" s="226" t="s">
        <v>188</v>
      </c>
      <c r="I20" s="220"/>
      <c r="J20" s="220"/>
      <c r="K20" s="220"/>
    </row>
    <row r="21" spans="1:8" ht="13.5" thickTop="1">
      <c r="A21" s="214">
        <v>65</v>
      </c>
      <c r="B21" s="235">
        <f>A21*0.5399568</f>
        <v>35.097192</v>
      </c>
      <c r="C21" s="227"/>
      <c r="D21" s="227"/>
      <c r="E21" s="28"/>
      <c r="F21" s="227"/>
      <c r="G21" s="227"/>
      <c r="H21" s="28"/>
    </row>
    <row r="22" spans="1:8" ht="12.75">
      <c r="A22" s="214">
        <v>70</v>
      </c>
      <c r="B22" s="235">
        <f>A22*0.5399568</f>
        <v>37.796976</v>
      </c>
      <c r="C22" s="227"/>
      <c r="D22" s="227"/>
      <c r="E22" s="28"/>
      <c r="F22" s="227"/>
      <c r="G22" s="227"/>
      <c r="H22" s="28"/>
    </row>
    <row r="23" spans="1:8" ht="12.75">
      <c r="A23" s="214">
        <v>75</v>
      </c>
      <c r="B23" s="235">
        <f>A23*0.5399568</f>
        <v>40.49676</v>
      </c>
      <c r="C23" s="227"/>
      <c r="D23" s="227"/>
      <c r="E23" s="28"/>
      <c r="F23" s="227"/>
      <c r="G23" s="227"/>
      <c r="H23" s="28"/>
    </row>
    <row r="24" spans="1:8" ht="12.75">
      <c r="A24" s="215">
        <v>80</v>
      </c>
      <c r="B24" s="236">
        <f aca="true" t="shared" si="0" ref="B24:B42">A24*0.5399568</f>
        <v>43.196544</v>
      </c>
      <c r="C24" s="227"/>
      <c r="D24" s="227"/>
      <c r="E24" s="28"/>
      <c r="F24" s="227"/>
      <c r="G24" s="227"/>
      <c r="H24" s="28"/>
    </row>
    <row r="25" spans="1:8" ht="12.75">
      <c r="A25" s="216">
        <v>93</v>
      </c>
      <c r="B25" s="237">
        <f t="shared" si="0"/>
        <v>50.2159824</v>
      </c>
      <c r="C25" s="229">
        <f>C45*$D$18</f>
        <v>1.0982718599999999</v>
      </c>
      <c r="D25" s="229"/>
      <c r="E25" s="230"/>
      <c r="F25" s="228">
        <f>$B25/C25</f>
        <v>45.722725154771794</v>
      </c>
      <c r="G25" s="227"/>
      <c r="H25" s="28"/>
    </row>
    <row r="26" spans="1:8" ht="12.75">
      <c r="A26" s="216">
        <v>104</v>
      </c>
      <c r="B26" s="237">
        <f t="shared" si="0"/>
        <v>56.1555072</v>
      </c>
      <c r="C26" s="229"/>
      <c r="D26" s="229">
        <f>D46*$D$18</f>
        <v>1.2149025</v>
      </c>
      <c r="E26" s="230"/>
      <c r="F26" s="227"/>
      <c r="G26" s="228">
        <f>$B26/D26</f>
        <v>46.22223363603252</v>
      </c>
      <c r="H26" s="28"/>
    </row>
    <row r="27" spans="1:8" ht="12.75">
      <c r="A27" s="25">
        <v>110</v>
      </c>
      <c r="B27" s="238">
        <f t="shared" si="0"/>
        <v>59.395248</v>
      </c>
      <c r="C27" s="229"/>
      <c r="D27" s="229"/>
      <c r="E27" s="230"/>
      <c r="F27" s="227"/>
      <c r="G27" s="227"/>
      <c r="H27" s="28"/>
    </row>
    <row r="28" spans="1:11" ht="12.75">
      <c r="A28" s="241">
        <v>120</v>
      </c>
      <c r="B28" s="242">
        <f t="shared" si="0"/>
        <v>64.794816</v>
      </c>
      <c r="C28" s="229">
        <f>0.85*$D$18</f>
        <v>1.6522674</v>
      </c>
      <c r="D28" s="229">
        <f>0.75*$D$18</f>
        <v>1.4578829999999998</v>
      </c>
      <c r="E28" s="230">
        <f>E48*$D$18</f>
        <v>1.3898484599999998</v>
      </c>
      <c r="F28" s="243">
        <f>$B28/C28</f>
        <v>39.21569595817239</v>
      </c>
      <c r="G28" s="243">
        <f>$B28/D28</f>
        <v>44.44445541926204</v>
      </c>
      <c r="H28" s="245">
        <f>$B28/E28</f>
        <v>46.62005813209305</v>
      </c>
      <c r="I28" s="222">
        <f>($H28-F28)/$H28</f>
        <v>0.1588235294117647</v>
      </c>
      <c r="J28" s="222">
        <f>($H28-G28)/$H28</f>
        <v>0.04666666666666665</v>
      </c>
      <c r="K28" s="259">
        <f>($H28-H28)/$H28</f>
        <v>0</v>
      </c>
    </row>
    <row r="29" spans="1:11" ht="12.75">
      <c r="A29" s="25">
        <v>130</v>
      </c>
      <c r="B29" s="238">
        <f t="shared" si="0"/>
        <v>70.194384</v>
      </c>
      <c r="C29" s="227"/>
      <c r="D29" s="227"/>
      <c r="E29" s="28"/>
      <c r="F29" s="244"/>
      <c r="G29" s="244"/>
      <c r="H29" s="246"/>
      <c r="K29" s="260"/>
    </row>
    <row r="30" spans="1:11" ht="12.75">
      <c r="A30" s="223">
        <v>140</v>
      </c>
      <c r="B30" s="254">
        <f t="shared" si="0"/>
        <v>75.593952</v>
      </c>
      <c r="C30" s="231">
        <f>1.25*$D$18</f>
        <v>2.429805</v>
      </c>
      <c r="D30" s="231">
        <f>1.05*$D$18</f>
        <v>2.0410362</v>
      </c>
      <c r="E30" s="232">
        <f>0.92*$D$18</f>
        <v>1.78833648</v>
      </c>
      <c r="F30" s="243">
        <f aca="true" t="shared" si="1" ref="F30:H32">$B30/C30</f>
        <v>31.111118793483428</v>
      </c>
      <c r="G30" s="243">
        <f t="shared" si="1"/>
        <v>37.03704618271836</v>
      </c>
      <c r="H30" s="253">
        <f t="shared" si="1"/>
        <v>42.27054183897205</v>
      </c>
      <c r="I30" s="222">
        <f>($H30-F30)/$H30</f>
        <v>0.264</v>
      </c>
      <c r="J30" s="224">
        <f>($H30-G30)/$H30</f>
        <v>0.12380952380952392</v>
      </c>
      <c r="K30" s="259">
        <f>($H30-H30)/$H30</f>
        <v>0</v>
      </c>
    </row>
    <row r="31" spans="1:11" ht="12.75">
      <c r="A31" s="25">
        <v>150</v>
      </c>
      <c r="B31" s="238">
        <f t="shared" si="0"/>
        <v>80.99352</v>
      </c>
      <c r="C31" s="231">
        <f>1.6*$D$18</f>
        <v>3.1101504</v>
      </c>
      <c r="D31" s="231">
        <f>1.35*$D$18</f>
        <v>2.6241894</v>
      </c>
      <c r="E31" s="232">
        <f>1.08*$D$18</f>
        <v>2.09935152</v>
      </c>
      <c r="F31" s="243">
        <f t="shared" si="1"/>
        <v>26.04167309722385</v>
      </c>
      <c r="G31" s="243">
        <f t="shared" si="1"/>
        <v>30.864205152265306</v>
      </c>
      <c r="H31" s="252">
        <f t="shared" si="1"/>
        <v>38.58025644033164</v>
      </c>
      <c r="J31" s="216"/>
      <c r="K31" s="260"/>
    </row>
    <row r="32" spans="1:11" ht="12.75">
      <c r="A32" s="225">
        <v>160</v>
      </c>
      <c r="B32" s="239">
        <f t="shared" si="0"/>
        <v>86.393088</v>
      </c>
      <c r="C32" s="233">
        <f>2*$D$18</f>
        <v>3.887688</v>
      </c>
      <c r="D32" s="233">
        <f>1.5*$D$18</f>
        <v>2.9157659999999996</v>
      </c>
      <c r="E32" s="234">
        <f>1.25*$D$18</f>
        <v>2.429805</v>
      </c>
      <c r="F32" s="243">
        <f t="shared" si="1"/>
        <v>22.22222770963102</v>
      </c>
      <c r="G32" s="243">
        <f t="shared" si="1"/>
        <v>29.6296369461747</v>
      </c>
      <c r="H32" s="245">
        <f t="shared" si="1"/>
        <v>35.555564335409635</v>
      </c>
      <c r="I32" s="263">
        <f>($H32-F32)/$H32</f>
        <v>0.375</v>
      </c>
      <c r="J32" s="264">
        <f>($H32-G32)/$H32</f>
        <v>0.16666666666666657</v>
      </c>
      <c r="K32" s="262">
        <f>($H32-H32)/$H32</f>
        <v>0</v>
      </c>
    </row>
    <row r="33" spans="1:11" s="216" customFormat="1" ht="12.75">
      <c r="A33" s="25">
        <v>170</v>
      </c>
      <c r="B33" s="238">
        <f t="shared" si="0"/>
        <v>91.79265600000001</v>
      </c>
      <c r="C33" s="227"/>
      <c r="D33" s="227"/>
      <c r="E33" s="28"/>
      <c r="F33" s="244"/>
      <c r="G33" s="244"/>
      <c r="H33" s="245"/>
      <c r="K33" s="261"/>
    </row>
    <row r="34" spans="1:11" ht="12.75">
      <c r="A34" s="221">
        <v>185</v>
      </c>
      <c r="B34" s="240">
        <f t="shared" si="0"/>
        <v>99.892008</v>
      </c>
      <c r="C34" s="233">
        <f>3.3*$D$18</f>
        <v>6.414685199999999</v>
      </c>
      <c r="D34" s="233">
        <f>2.55*$D$18</f>
        <v>4.956802199999999</v>
      </c>
      <c r="E34" s="234">
        <f>2.17*$D$18</f>
        <v>4.21814148</v>
      </c>
      <c r="F34" s="243">
        <f>$B34/C34</f>
        <v>15.572394417733861</v>
      </c>
      <c r="G34" s="243">
        <f>$B34/D34</f>
        <v>20.152510422949703</v>
      </c>
      <c r="H34" s="245">
        <f>$B34/E34</f>
        <v>23.68152146475656</v>
      </c>
      <c r="I34" s="222">
        <f>($H34-F34)/$H34</f>
        <v>0.34242424242424235</v>
      </c>
      <c r="J34" s="224">
        <f>($H34-G34)/$H34</f>
        <v>0.14901960784313714</v>
      </c>
      <c r="K34" s="259">
        <f>($H34-H34)/$H34</f>
        <v>0</v>
      </c>
    </row>
    <row r="35" spans="1:11" ht="12.75">
      <c r="A35" s="25">
        <v>190</v>
      </c>
      <c r="B35" s="238">
        <f t="shared" si="0"/>
        <v>102.591792</v>
      </c>
      <c r="C35" s="227"/>
      <c r="D35" s="227"/>
      <c r="E35" s="28"/>
      <c r="F35" s="227"/>
      <c r="G35" s="227"/>
      <c r="H35" s="28"/>
      <c r="I35" s="222"/>
      <c r="J35" s="222"/>
      <c r="K35" s="222"/>
    </row>
    <row r="36" spans="1:8" ht="12.75">
      <c r="A36" s="25">
        <v>200</v>
      </c>
      <c r="B36" s="238">
        <f t="shared" si="0"/>
        <v>107.99136</v>
      </c>
      <c r="C36" s="227"/>
      <c r="D36" s="227"/>
      <c r="E36" s="28"/>
      <c r="F36" s="227"/>
      <c r="G36" s="227"/>
      <c r="H36" s="28"/>
    </row>
    <row r="37" spans="1:8" ht="12.75">
      <c r="A37" s="25">
        <v>210</v>
      </c>
      <c r="B37" s="238">
        <f t="shared" si="0"/>
        <v>113.390928</v>
      </c>
      <c r="C37" s="227"/>
      <c r="D37" s="227"/>
      <c r="E37" s="28"/>
      <c r="F37" s="227"/>
      <c r="G37" s="227"/>
      <c r="H37" s="28"/>
    </row>
    <row r="38" spans="1:8" ht="12.75">
      <c r="A38" s="25">
        <v>220</v>
      </c>
      <c r="B38" s="238">
        <f t="shared" si="0"/>
        <v>118.790496</v>
      </c>
      <c r="C38" s="227"/>
      <c r="D38" s="227"/>
      <c r="E38" s="28"/>
      <c r="F38" s="227"/>
      <c r="G38" s="227"/>
      <c r="H38" s="28"/>
    </row>
    <row r="39" spans="1:8" ht="12.75">
      <c r="A39" s="25">
        <v>230</v>
      </c>
      <c r="B39" s="238">
        <f t="shared" si="0"/>
        <v>124.190064</v>
      </c>
      <c r="C39" s="227"/>
      <c r="D39" s="227"/>
      <c r="E39" s="28"/>
      <c r="F39" s="227"/>
      <c r="G39" s="227"/>
      <c r="H39" s="28"/>
    </row>
    <row r="40" spans="1:8" ht="12.75">
      <c r="A40" s="25">
        <v>240</v>
      </c>
      <c r="B40" s="238">
        <f t="shared" si="0"/>
        <v>129.589632</v>
      </c>
      <c r="C40" s="227"/>
      <c r="D40" s="227"/>
      <c r="E40" s="28"/>
      <c r="F40" s="227"/>
      <c r="G40" s="227"/>
      <c r="H40" s="28"/>
    </row>
    <row r="41" spans="1:8" ht="12.75">
      <c r="A41" s="25">
        <v>250</v>
      </c>
      <c r="B41" s="238">
        <f t="shared" si="0"/>
        <v>134.9892</v>
      </c>
      <c r="C41" s="227"/>
      <c r="D41" s="227"/>
      <c r="E41" s="28"/>
      <c r="F41" s="227"/>
      <c r="G41" s="227"/>
      <c r="H41" s="28"/>
    </row>
    <row r="42" spans="1:8" ht="12.75">
      <c r="A42" s="25">
        <v>260</v>
      </c>
      <c r="B42" s="238">
        <f t="shared" si="0"/>
        <v>140.388768</v>
      </c>
      <c r="C42" s="227"/>
      <c r="D42" s="227"/>
      <c r="E42" s="28"/>
      <c r="F42" s="227"/>
      <c r="G42" s="227"/>
      <c r="H42" s="28"/>
    </row>
    <row r="43" ht="12.75"/>
    <row r="44" ht="12.75">
      <c r="C44" s="218" t="s">
        <v>189</v>
      </c>
    </row>
    <row r="45" spans="3:5" ht="12.75">
      <c r="C45" s="217">
        <v>0.565</v>
      </c>
      <c r="D45" s="217"/>
      <c r="E45" s="217"/>
    </row>
    <row r="46" spans="3:5" ht="12.75">
      <c r="C46" s="217"/>
      <c r="D46" s="217">
        <v>0.625</v>
      </c>
      <c r="E46" s="217"/>
    </row>
    <row r="47" spans="3:5" ht="12.75">
      <c r="C47" s="217"/>
      <c r="D47" s="217"/>
      <c r="E47" s="217"/>
    </row>
    <row r="48" spans="3:5" ht="12.75">
      <c r="C48" s="217"/>
      <c r="D48" s="217"/>
      <c r="E48" s="217">
        <v>0.715</v>
      </c>
    </row>
  </sheetData>
  <sheetProtection password="C791" sheet="1" objects="1" scenarios="1"/>
  <mergeCells count="3">
    <mergeCell ref="F19:H19"/>
    <mergeCell ref="I19:K19"/>
    <mergeCell ref="C19:E19"/>
  </mergeCells>
  <printOptions gridLines="1"/>
  <pageMargins left="0.5" right="0.5" top="1" bottom="1" header="0.5" footer="0.5"/>
  <pageSetup fitToHeight="1" fitToWidth="1" horizontalDpi="300" verticalDpi="300" orientation="landscape" scale="54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38" sqref="A38:B43"/>
    </sheetView>
  </sheetViews>
  <sheetFormatPr defaultColWidth="9.140625" defaultRowHeight="12.75"/>
  <cols>
    <col min="1" max="6" width="11.140625" style="0" customWidth="1"/>
  </cols>
  <sheetData>
    <row r="1" ht="18.75" thickBot="1">
      <c r="A1" s="59" t="s">
        <v>104</v>
      </c>
    </row>
    <row r="2" spans="1:6" ht="15.75" thickTop="1">
      <c r="A2" s="272" t="s">
        <v>33</v>
      </c>
      <c r="B2" s="273"/>
      <c r="C2" s="63"/>
      <c r="D2" s="274" t="s">
        <v>33</v>
      </c>
      <c r="E2" s="275"/>
      <c r="F2" s="276"/>
    </row>
    <row r="3" spans="1:6" ht="15">
      <c r="A3" s="68" t="s">
        <v>29</v>
      </c>
      <c r="B3" s="69" t="s">
        <v>31</v>
      </c>
      <c r="C3" s="70"/>
      <c r="D3" s="69" t="s">
        <v>29</v>
      </c>
      <c r="E3" s="71" t="s">
        <v>31</v>
      </c>
      <c r="F3" s="71" t="s">
        <v>31</v>
      </c>
    </row>
    <row r="4" spans="1:6" ht="15.75" thickBot="1">
      <c r="A4" s="74" t="s">
        <v>2</v>
      </c>
      <c r="B4" s="72" t="s">
        <v>2</v>
      </c>
      <c r="C4" s="62"/>
      <c r="D4" s="72" t="s">
        <v>34</v>
      </c>
      <c r="E4" s="73" t="s">
        <v>34</v>
      </c>
      <c r="F4" s="140" t="s">
        <v>158</v>
      </c>
    </row>
    <row r="5" spans="1:9" ht="16.5" thickTop="1">
      <c r="A5" s="64">
        <v>20</v>
      </c>
      <c r="B5" s="60">
        <v>0.6</v>
      </c>
      <c r="C5" s="61"/>
      <c r="D5" s="60">
        <v>40</v>
      </c>
      <c r="E5" s="143">
        <v>1.2</v>
      </c>
      <c r="F5" s="141">
        <f>E5/8.35075757575758</f>
        <v>0.14369953733103502</v>
      </c>
      <c r="H5" s="25"/>
      <c r="I5" s="25"/>
    </row>
    <row r="6" spans="1:9" ht="15.75">
      <c r="A6" s="64">
        <v>40</v>
      </c>
      <c r="B6" s="60">
        <v>1.3</v>
      </c>
      <c r="C6" s="61"/>
      <c r="D6" s="60">
        <v>80</v>
      </c>
      <c r="E6" s="143">
        <v>2.7</v>
      </c>
      <c r="F6" s="141">
        <f aca="true" t="shared" si="0" ref="F6:F13">E6/8.35075757575758</f>
        <v>0.32332395899482885</v>
      </c>
      <c r="I6" s="25"/>
    </row>
    <row r="7" spans="1:9" ht="15.75">
      <c r="A7" s="64">
        <v>60</v>
      </c>
      <c r="B7" s="60">
        <v>2.1</v>
      </c>
      <c r="C7" s="61"/>
      <c r="D7" s="60">
        <v>120</v>
      </c>
      <c r="E7" s="143">
        <v>4.2</v>
      </c>
      <c r="F7" s="141">
        <f t="shared" si="0"/>
        <v>0.5029483806586227</v>
      </c>
      <c r="I7" s="25"/>
    </row>
    <row r="8" spans="1:9" ht="15.75">
      <c r="A8" s="79">
        <v>80</v>
      </c>
      <c r="B8" s="80">
        <v>2.9</v>
      </c>
      <c r="C8" s="81"/>
      <c r="D8" s="60">
        <v>160</v>
      </c>
      <c r="E8" s="143">
        <v>5.9</v>
      </c>
      <c r="F8" s="141">
        <f t="shared" si="0"/>
        <v>0.7065227252109223</v>
      </c>
      <c r="H8">
        <f>200/2.2</f>
        <v>90.9090909090909</v>
      </c>
      <c r="I8" s="25"/>
    </row>
    <row r="9" spans="1:9" ht="15.75">
      <c r="A9" s="64">
        <v>100</v>
      </c>
      <c r="B9" s="60">
        <v>3.8</v>
      </c>
      <c r="C9" s="61"/>
      <c r="D9" s="203">
        <v>200</v>
      </c>
      <c r="E9" s="78">
        <v>7.5</v>
      </c>
      <c r="F9" s="142">
        <f t="shared" si="0"/>
        <v>0.898122108318969</v>
      </c>
      <c r="I9" s="25"/>
    </row>
    <row r="10" spans="1:9" ht="15.75">
      <c r="A10" s="64">
        <v>120</v>
      </c>
      <c r="B10" s="60">
        <v>4.6</v>
      </c>
      <c r="C10" s="61"/>
      <c r="D10" s="60">
        <v>240</v>
      </c>
      <c r="E10" s="143">
        <v>9.2</v>
      </c>
      <c r="F10" s="141">
        <f t="shared" si="0"/>
        <v>1.1016964528712685</v>
      </c>
      <c r="I10" s="25"/>
    </row>
    <row r="11" spans="1:9" ht="15.75">
      <c r="A11" s="64">
        <v>140</v>
      </c>
      <c r="B11" s="60">
        <v>5.4</v>
      </c>
      <c r="C11" s="61"/>
      <c r="D11" s="60">
        <v>280</v>
      </c>
      <c r="E11" s="143">
        <v>10.8</v>
      </c>
      <c r="F11" s="141">
        <f t="shared" si="0"/>
        <v>1.2932958359793154</v>
      </c>
      <c r="I11" s="25"/>
    </row>
    <row r="12" spans="1:9" ht="15.75">
      <c r="A12" s="75">
        <v>160</v>
      </c>
      <c r="B12" s="76">
        <v>6.2</v>
      </c>
      <c r="C12" s="77"/>
      <c r="D12" s="60">
        <v>320</v>
      </c>
      <c r="E12" s="143">
        <v>12.4</v>
      </c>
      <c r="F12" s="141">
        <f t="shared" si="0"/>
        <v>1.484895219087362</v>
      </c>
      <c r="I12" s="25"/>
    </row>
    <row r="13" spans="1:9" ht="16.5" thickBot="1">
      <c r="A13" s="65" t="s">
        <v>30</v>
      </c>
      <c r="B13" s="66" t="s">
        <v>30</v>
      </c>
      <c r="C13" s="67"/>
      <c r="D13" s="201">
        <v>350</v>
      </c>
      <c r="E13" s="200">
        <v>13.5</v>
      </c>
      <c r="F13" s="202">
        <f t="shared" si="0"/>
        <v>1.616619794974144</v>
      </c>
      <c r="I13" s="25"/>
    </row>
    <row r="14" ht="13.5" thickTop="1"/>
    <row r="16" spans="6:7" ht="12.75">
      <c r="F16" s="144" t="s">
        <v>159</v>
      </c>
      <c r="G16" s="145">
        <f>VLOOKUP('W&amp;B Calculator'!B37,'Fin Ballast'!$D$5:$E$13,2)</f>
        <v>7.5</v>
      </c>
    </row>
    <row r="17" spans="1:7" ht="70.5" customHeight="1">
      <c r="A17" s="277" t="s">
        <v>116</v>
      </c>
      <c r="B17" s="277"/>
      <c r="C17" s="277"/>
      <c r="D17" s="277"/>
      <c r="E17" s="277"/>
      <c r="F17" s="277"/>
      <c r="G17" s="277"/>
    </row>
    <row r="19" spans="5:6" ht="12.75">
      <c r="E19" s="25"/>
      <c r="F19" s="139"/>
    </row>
    <row r="20" spans="5:6" ht="12.75">
      <c r="E20" s="25"/>
      <c r="F20" s="139"/>
    </row>
    <row r="21" spans="5:6" ht="12.75">
      <c r="E21" s="25"/>
      <c r="F21" s="139"/>
    </row>
    <row r="22" spans="5:6" ht="12.75">
      <c r="E22" s="25"/>
      <c r="F22" s="139"/>
    </row>
    <row r="23" spans="5:6" ht="12.75">
      <c r="E23" s="25"/>
      <c r="F23" s="139"/>
    </row>
    <row r="24" spans="5:6" ht="12.75">
      <c r="E24" s="25"/>
      <c r="F24" s="139"/>
    </row>
    <row r="25" spans="5:6" ht="12.75">
      <c r="E25" s="25"/>
      <c r="F25" s="139"/>
    </row>
    <row r="26" spans="5:6" ht="12.75">
      <c r="E26" s="25"/>
      <c r="F26" s="139"/>
    </row>
  </sheetData>
  <sheetProtection password="C791" sheet="1" objects="1" scenarios="1"/>
  <mergeCells count="3">
    <mergeCell ref="A2:B2"/>
    <mergeCell ref="D2:F2"/>
    <mergeCell ref="A17:G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F21" sqref="F21"/>
    </sheetView>
  </sheetViews>
  <sheetFormatPr defaultColWidth="9.140625" defaultRowHeight="12.75"/>
  <cols>
    <col min="1" max="1" width="18.28125" style="135" customWidth="1"/>
    <col min="2" max="4" width="9.140625" style="135" customWidth="1"/>
    <col min="5" max="6" width="13.00390625" style="135" customWidth="1"/>
    <col min="7" max="7" width="26.28125" style="135" customWidth="1"/>
    <col min="8" max="16384" width="9.140625" style="135" customWidth="1"/>
  </cols>
  <sheetData>
    <row r="1" ht="15.75">
      <c r="A1" s="206" t="s">
        <v>120</v>
      </c>
    </row>
    <row r="2" ht="12.75">
      <c r="A2" s="168" t="s">
        <v>122</v>
      </c>
    </row>
    <row r="3" ht="12.75">
      <c r="E3" s="167" t="s">
        <v>121</v>
      </c>
    </row>
    <row r="4" spans="2:6" ht="12.75">
      <c r="B4" s="135" t="s">
        <v>125</v>
      </c>
      <c r="E4" s="280" t="s">
        <v>123</v>
      </c>
      <c r="F4" s="280"/>
    </row>
    <row r="5" spans="2:6" ht="16.5" thickBot="1">
      <c r="B5" s="169" t="s">
        <v>128</v>
      </c>
      <c r="C5" s="169" t="s">
        <v>129</v>
      </c>
      <c r="E5" s="182" t="s">
        <v>126</v>
      </c>
      <c r="F5" s="182" t="s">
        <v>127</v>
      </c>
    </row>
    <row r="6" spans="1:9" ht="13.5" thickTop="1">
      <c r="A6" s="135" t="s">
        <v>131</v>
      </c>
      <c r="B6" s="135" t="s">
        <v>132</v>
      </c>
      <c r="C6" s="135">
        <v>330</v>
      </c>
      <c r="D6" s="186"/>
      <c r="E6" s="136">
        <v>374.97</v>
      </c>
      <c r="F6" s="136">
        <v>380.17</v>
      </c>
      <c r="H6" s="186"/>
      <c r="I6" s="207"/>
    </row>
    <row r="7" spans="1:9" ht="12.75">
      <c r="A7" s="135" t="s">
        <v>134</v>
      </c>
      <c r="B7" s="171" t="s">
        <v>135</v>
      </c>
      <c r="C7" s="171">
        <v>4975</v>
      </c>
      <c r="E7" s="185">
        <v>32.83</v>
      </c>
      <c r="F7" s="185">
        <v>32.73</v>
      </c>
      <c r="H7" s="186"/>
      <c r="I7" s="207"/>
    </row>
    <row r="8" spans="2:9" ht="12.75">
      <c r="B8" s="135" t="s">
        <v>137</v>
      </c>
      <c r="C8" s="135">
        <f>C6+C7</f>
        <v>5305</v>
      </c>
      <c r="E8" s="136">
        <f>E6+E7</f>
        <v>407.8</v>
      </c>
      <c r="F8" s="136">
        <f>F6+F7</f>
        <v>412.90000000000003</v>
      </c>
      <c r="H8" s="186"/>
      <c r="I8" s="186"/>
    </row>
    <row r="9" spans="5:9" ht="12.75">
      <c r="E9" s="136"/>
      <c r="F9" s="136"/>
      <c r="H9" s="186"/>
      <c r="I9" s="186"/>
    </row>
    <row r="10" spans="5:9" ht="12.75">
      <c r="E10" s="278" t="s">
        <v>139</v>
      </c>
      <c r="F10" s="278"/>
      <c r="H10" s="186"/>
      <c r="I10" s="186"/>
    </row>
    <row r="11" spans="5:9" ht="15">
      <c r="E11" s="194">
        <f>C6+C7*E7/E8</f>
        <v>730.5131191760668</v>
      </c>
      <c r="F11" s="194">
        <f>C6+C7*F7/F8</f>
        <v>724.361225478324</v>
      </c>
      <c r="H11" s="186"/>
      <c r="I11" s="186"/>
    </row>
    <row r="12" spans="1:9" ht="34.5" customHeight="1">
      <c r="A12" s="184" t="s">
        <v>172</v>
      </c>
      <c r="E12" s="170"/>
      <c r="F12" s="170"/>
      <c r="H12" s="186"/>
      <c r="I12" s="186"/>
    </row>
    <row r="13" spans="5:9" ht="14.25">
      <c r="E13" s="279" t="s">
        <v>151</v>
      </c>
      <c r="F13" s="279"/>
      <c r="H13" s="186"/>
      <c r="I13" s="186"/>
    </row>
    <row r="14" spans="1:9" ht="16.5" thickBot="1">
      <c r="A14" s="169" t="s">
        <v>143</v>
      </c>
      <c r="C14" s="169" t="s">
        <v>129</v>
      </c>
      <c r="D14" s="169" t="s">
        <v>144</v>
      </c>
      <c r="E14" s="182" t="s">
        <v>126</v>
      </c>
      <c r="F14" s="182" t="s">
        <v>127</v>
      </c>
      <c r="H14" s="186"/>
      <c r="I14" s="186"/>
    </row>
    <row r="15" spans="1:9" ht="13.5" thickTop="1">
      <c r="A15" s="135" t="s">
        <v>145</v>
      </c>
      <c r="C15" s="135">
        <f>C28</f>
        <v>-1910</v>
      </c>
      <c r="D15" s="135">
        <v>0.4</v>
      </c>
      <c r="H15" s="186"/>
      <c r="I15" s="207"/>
    </row>
    <row r="16" spans="1:9" ht="12.75">
      <c r="A16" s="135" t="s">
        <v>146</v>
      </c>
      <c r="C16" s="135">
        <f>C28</f>
        <v>-1910</v>
      </c>
      <c r="D16" s="135">
        <v>0.2</v>
      </c>
      <c r="H16" s="186"/>
      <c r="I16" s="207"/>
    </row>
    <row r="17" spans="1:9" ht="12.75">
      <c r="A17" s="135" t="s">
        <v>147</v>
      </c>
      <c r="C17" s="135">
        <f>C28</f>
        <v>-1910</v>
      </c>
      <c r="D17" s="135">
        <v>0.75</v>
      </c>
      <c r="H17" s="186"/>
      <c r="I17" s="207"/>
    </row>
    <row r="18" spans="1:9" ht="12.75">
      <c r="A18" s="135" t="s">
        <v>148</v>
      </c>
      <c r="C18" s="135">
        <f>C30</f>
        <v>-740</v>
      </c>
      <c r="D18" s="135">
        <f>D15</f>
        <v>0.4</v>
      </c>
      <c r="H18" s="186"/>
      <c r="I18" s="207"/>
    </row>
    <row r="19" spans="1:9" ht="12.75">
      <c r="A19" s="135" t="s">
        <v>149</v>
      </c>
      <c r="C19" s="135">
        <f>C30</f>
        <v>-740</v>
      </c>
      <c r="D19" s="135">
        <f>D16</f>
        <v>0.2</v>
      </c>
      <c r="F19" s="168"/>
      <c r="H19" s="186"/>
      <c r="I19" s="207"/>
    </row>
    <row r="20" spans="1:9" ht="12.75">
      <c r="A20" s="171" t="s">
        <v>150</v>
      </c>
      <c r="B20" s="171"/>
      <c r="C20" s="171">
        <f>C32</f>
        <v>-250</v>
      </c>
      <c r="D20" s="171">
        <v>4</v>
      </c>
      <c r="E20" s="171"/>
      <c r="F20" s="183"/>
      <c r="H20" s="208"/>
      <c r="I20" s="209"/>
    </row>
    <row r="21" spans="1:9" ht="15.75">
      <c r="A21" s="135" t="s">
        <v>152</v>
      </c>
      <c r="C21" s="135">
        <f>C15*D15+C16*D16+C17*D17+C18*D18+C19*D19+C20*D20</f>
        <v>-4022.5</v>
      </c>
      <c r="D21" s="135">
        <f>SUM(D15:D20)</f>
        <v>5.95</v>
      </c>
      <c r="E21" s="190">
        <f>(E8*E11+C21)/(E8+D21)</f>
        <v>710.2858006042297</v>
      </c>
      <c r="F21" s="191">
        <f>(F8*F11+C21)/(F8+D21)</f>
        <v>704.4675898292944</v>
      </c>
      <c r="H21" s="186"/>
      <c r="I21" s="207"/>
    </row>
    <row r="22" spans="8:9" ht="12.75">
      <c r="H22" s="186"/>
      <c r="I22" s="186"/>
    </row>
    <row r="23" spans="8:9" ht="12.75">
      <c r="H23" s="186"/>
      <c r="I23" s="186"/>
    </row>
    <row r="24" spans="1:9" ht="12.75">
      <c r="A24" s="135" t="s">
        <v>124</v>
      </c>
      <c r="H24" s="186"/>
      <c r="I24" s="186"/>
    </row>
    <row r="25" spans="1:9" ht="12.75">
      <c r="A25" s="135" t="s">
        <v>125</v>
      </c>
      <c r="H25" s="186"/>
      <c r="I25" s="186"/>
    </row>
    <row r="26" spans="1:9" ht="13.5" thickBot="1">
      <c r="A26" s="169" t="s">
        <v>130</v>
      </c>
      <c r="B26" s="169"/>
      <c r="C26" s="169" t="s">
        <v>129</v>
      </c>
      <c r="H26" s="186"/>
      <c r="I26" s="186"/>
    </row>
    <row r="27" spans="1:9" ht="13.5" thickTop="1">
      <c r="A27" s="135" t="s">
        <v>133</v>
      </c>
      <c r="C27" s="135">
        <v>-1960</v>
      </c>
      <c r="H27" s="186"/>
      <c r="I27" s="207"/>
    </row>
    <row r="28" spans="1:9" ht="12.75">
      <c r="A28" s="135" t="s">
        <v>136</v>
      </c>
      <c r="C28" s="135">
        <v>-1910</v>
      </c>
      <c r="H28" s="186"/>
      <c r="I28" s="207"/>
    </row>
    <row r="29" spans="1:9" ht="12.75">
      <c r="A29" s="135" t="s">
        <v>138</v>
      </c>
      <c r="C29" s="135">
        <v>-1350</v>
      </c>
      <c r="H29" s="186"/>
      <c r="I29" s="207"/>
    </row>
    <row r="30" spans="1:9" ht="12.75">
      <c r="A30" s="135" t="s">
        <v>140</v>
      </c>
      <c r="C30" s="135">
        <v>-740</v>
      </c>
      <c r="H30" s="186"/>
      <c r="I30" s="207"/>
    </row>
    <row r="31" spans="1:9" ht="12.75">
      <c r="A31" s="135" t="s">
        <v>141</v>
      </c>
      <c r="C31" s="135">
        <v>-280</v>
      </c>
      <c r="H31" s="186"/>
      <c r="I31" s="207"/>
    </row>
    <row r="32" spans="1:9" ht="12.75">
      <c r="A32" s="135" t="s">
        <v>142</v>
      </c>
      <c r="C32" s="135">
        <v>-250</v>
      </c>
      <c r="H32" s="186"/>
      <c r="I32" s="207"/>
    </row>
  </sheetData>
  <sheetProtection password="C791" sheet="1" objects="1" scenarios="1"/>
  <mergeCells count="3">
    <mergeCell ref="E10:F10"/>
    <mergeCell ref="E13:F13"/>
    <mergeCell ref="E4:F4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7" sqref="C7"/>
    </sheetView>
  </sheetViews>
  <sheetFormatPr defaultColWidth="9.140625" defaultRowHeight="12.75"/>
  <cols>
    <col min="1" max="1" width="45.8515625" style="25" bestFit="1" customWidth="1"/>
    <col min="2" max="3" width="15.57421875" style="25" customWidth="1"/>
    <col min="4" max="4" width="15.57421875" style="38" customWidth="1"/>
    <col min="5" max="6" width="15.28125" style="25" customWidth="1"/>
    <col min="7" max="16384" width="8.00390625" style="25" customWidth="1"/>
  </cols>
  <sheetData>
    <row r="1" ht="20.25">
      <c r="A1" s="166" t="s">
        <v>167</v>
      </c>
    </row>
    <row r="2" ht="16.5" thickBot="1">
      <c r="E2" s="26" t="s">
        <v>106</v>
      </c>
    </row>
    <row r="3" spans="1:6" ht="16.5" thickTop="1">
      <c r="A3" s="82"/>
      <c r="B3" s="41" t="s">
        <v>60</v>
      </c>
      <c r="C3" s="102" t="s">
        <v>63</v>
      </c>
      <c r="D3" s="103" t="s">
        <v>69</v>
      </c>
      <c r="E3" s="97" t="s">
        <v>63</v>
      </c>
      <c r="F3" s="42" t="s">
        <v>69</v>
      </c>
    </row>
    <row r="4" spans="1:6" ht="19.5" thickBot="1">
      <c r="A4" s="83" t="s">
        <v>94</v>
      </c>
      <c r="B4" s="44" t="s">
        <v>61</v>
      </c>
      <c r="C4" s="104" t="s">
        <v>64</v>
      </c>
      <c r="D4" s="105" t="s">
        <v>70</v>
      </c>
      <c r="E4" s="98" t="s">
        <v>153</v>
      </c>
      <c r="F4" s="45" t="s">
        <v>154</v>
      </c>
    </row>
    <row r="5" spans="1:11" ht="16.5" thickTop="1">
      <c r="A5" s="93" t="s">
        <v>95</v>
      </c>
      <c r="B5" s="85"/>
      <c r="C5" s="106">
        <v>0.27</v>
      </c>
      <c r="D5" s="107">
        <f>B5*C5</f>
        <v>0</v>
      </c>
      <c r="E5" s="193">
        <f>C5*1000</f>
        <v>270</v>
      </c>
      <c r="F5" s="86">
        <f>B5*E5</f>
        <v>0</v>
      </c>
      <c r="G5" s="38">
        <v>0</v>
      </c>
      <c r="H5" s="25">
        <v>270</v>
      </c>
      <c r="I5" s="25" t="s">
        <v>103</v>
      </c>
      <c r="J5" s="25" t="str">
        <f>G5&amp;"."&amp;H5</f>
        <v>0.270</v>
      </c>
      <c r="K5" s="58">
        <v>0.27</v>
      </c>
    </row>
    <row r="6" spans="1:11" ht="15.75">
      <c r="A6" s="84" t="s">
        <v>56</v>
      </c>
      <c r="B6" s="85"/>
      <c r="C6" s="108">
        <v>0.206</v>
      </c>
      <c r="D6" s="107">
        <f aca="true" t="shared" si="0" ref="D6:D13">B6*C6</f>
        <v>0</v>
      </c>
      <c r="E6" s="99">
        <f aca="true" t="shared" si="1" ref="E6:E13">C6*1000</f>
        <v>206</v>
      </c>
      <c r="F6" s="86">
        <f aca="true" t="shared" si="2" ref="F6:F13">B6*E6</f>
        <v>0</v>
      </c>
      <c r="G6" s="38">
        <v>0</v>
      </c>
      <c r="H6" s="25">
        <v>206</v>
      </c>
      <c r="I6" s="25" t="s">
        <v>103</v>
      </c>
      <c r="J6" s="25" t="str">
        <f aca="true" t="shared" si="3" ref="J6:J13">G6&amp;"."&amp;H6</f>
        <v>0.206</v>
      </c>
      <c r="K6" s="58">
        <v>0.206</v>
      </c>
    </row>
    <row r="7" spans="1:11" ht="15.75">
      <c r="A7" s="84" t="s">
        <v>96</v>
      </c>
      <c r="B7" s="85"/>
      <c r="C7" s="108">
        <v>5.26</v>
      </c>
      <c r="D7" s="107">
        <f t="shared" si="0"/>
        <v>0</v>
      </c>
      <c r="E7" s="99">
        <f t="shared" si="1"/>
        <v>5260</v>
      </c>
      <c r="F7" s="86">
        <f t="shared" si="2"/>
        <v>0</v>
      </c>
      <c r="G7" s="38">
        <v>5</v>
      </c>
      <c r="H7" s="25">
        <v>260</v>
      </c>
      <c r="I7" s="25" t="s">
        <v>103</v>
      </c>
      <c r="J7" s="25" t="str">
        <f t="shared" si="3"/>
        <v>5.260</v>
      </c>
      <c r="K7" s="58">
        <v>5.26</v>
      </c>
    </row>
    <row r="8" spans="1:11" ht="15.75">
      <c r="A8" s="84" t="s">
        <v>97</v>
      </c>
      <c r="B8" s="85"/>
      <c r="C8" s="108">
        <v>5.4</v>
      </c>
      <c r="D8" s="107">
        <f t="shared" si="0"/>
        <v>0</v>
      </c>
      <c r="E8" s="99">
        <f t="shared" si="1"/>
        <v>5400</v>
      </c>
      <c r="F8" s="86">
        <f t="shared" si="2"/>
        <v>0</v>
      </c>
      <c r="G8" s="38">
        <v>5</v>
      </c>
      <c r="H8" s="25">
        <v>400</v>
      </c>
      <c r="I8" s="25" t="s">
        <v>103</v>
      </c>
      <c r="J8" s="25" t="str">
        <f t="shared" si="3"/>
        <v>5.400</v>
      </c>
      <c r="K8" s="58">
        <v>5.4</v>
      </c>
    </row>
    <row r="9" spans="1:11" ht="15.75">
      <c r="A9" s="94" t="s">
        <v>98</v>
      </c>
      <c r="B9" s="85"/>
      <c r="C9" s="106">
        <v>-1.91</v>
      </c>
      <c r="D9" s="107">
        <f t="shared" si="0"/>
        <v>0</v>
      </c>
      <c r="E9" s="193">
        <f t="shared" si="1"/>
        <v>-1910</v>
      </c>
      <c r="F9" s="86">
        <f t="shared" si="2"/>
        <v>0</v>
      </c>
      <c r="G9" s="38">
        <v>-1</v>
      </c>
      <c r="H9" s="25">
        <v>910</v>
      </c>
      <c r="I9" s="25" t="s">
        <v>103</v>
      </c>
      <c r="J9" s="25" t="str">
        <f t="shared" si="3"/>
        <v>-1.910</v>
      </c>
      <c r="K9" s="58">
        <v>-1.91</v>
      </c>
    </row>
    <row r="10" spans="1:11" ht="15.75">
      <c r="A10" s="94" t="s">
        <v>99</v>
      </c>
      <c r="B10" s="85"/>
      <c r="C10" s="106">
        <v>-0.74</v>
      </c>
      <c r="D10" s="107">
        <f t="shared" si="0"/>
        <v>0</v>
      </c>
      <c r="E10" s="193">
        <f t="shared" si="1"/>
        <v>-740</v>
      </c>
      <c r="F10" s="86">
        <f t="shared" si="2"/>
        <v>0</v>
      </c>
      <c r="G10" s="38">
        <v>0</v>
      </c>
      <c r="H10" s="25">
        <v>740</v>
      </c>
      <c r="I10" s="25" t="s">
        <v>103</v>
      </c>
      <c r="J10" s="25" t="str">
        <f t="shared" si="3"/>
        <v>0.740</v>
      </c>
      <c r="K10" s="58">
        <v>0.74</v>
      </c>
    </row>
    <row r="11" spans="1:11" ht="15.75">
      <c r="A11" s="84" t="s">
        <v>100</v>
      </c>
      <c r="B11" s="85"/>
      <c r="C11" s="108">
        <v>-1.96</v>
      </c>
      <c r="D11" s="107">
        <f t="shared" si="0"/>
        <v>0</v>
      </c>
      <c r="E11" s="99">
        <f t="shared" si="1"/>
        <v>-1960</v>
      </c>
      <c r="F11" s="86">
        <f t="shared" si="2"/>
        <v>0</v>
      </c>
      <c r="G11" s="38">
        <v>-1</v>
      </c>
      <c r="H11" s="25">
        <v>960</v>
      </c>
      <c r="I11" s="25" t="s">
        <v>103</v>
      </c>
      <c r="J11" s="25" t="str">
        <f t="shared" si="3"/>
        <v>-1.960</v>
      </c>
      <c r="K11" s="58">
        <v>-1.96</v>
      </c>
    </row>
    <row r="12" spans="1:11" ht="15.75">
      <c r="A12" s="84" t="s">
        <v>101</v>
      </c>
      <c r="B12" s="85"/>
      <c r="C12" s="108">
        <v>5.34</v>
      </c>
      <c r="D12" s="107">
        <f t="shared" si="0"/>
        <v>0</v>
      </c>
      <c r="E12" s="99">
        <f t="shared" si="1"/>
        <v>5340</v>
      </c>
      <c r="F12" s="86">
        <f t="shared" si="2"/>
        <v>0</v>
      </c>
      <c r="G12" s="38">
        <v>5</v>
      </c>
      <c r="H12" s="25">
        <v>340</v>
      </c>
      <c r="I12" s="25" t="s">
        <v>103</v>
      </c>
      <c r="J12" s="25" t="str">
        <f t="shared" si="3"/>
        <v>5.340</v>
      </c>
      <c r="K12" s="58">
        <v>5.34</v>
      </c>
    </row>
    <row r="13" spans="1:11" ht="16.5" thickBot="1">
      <c r="A13" s="92" t="s">
        <v>102</v>
      </c>
      <c r="B13" s="87"/>
      <c r="C13" s="109">
        <v>5.305</v>
      </c>
      <c r="D13" s="110">
        <f t="shared" si="0"/>
        <v>0</v>
      </c>
      <c r="E13" s="100">
        <f t="shared" si="1"/>
        <v>5305</v>
      </c>
      <c r="F13" s="88">
        <f t="shared" si="2"/>
        <v>0</v>
      </c>
      <c r="G13" s="38">
        <v>5</v>
      </c>
      <c r="H13" s="25">
        <v>305</v>
      </c>
      <c r="I13" s="25" t="s">
        <v>103</v>
      </c>
      <c r="J13" s="25" t="str">
        <f t="shared" si="3"/>
        <v>5.305</v>
      </c>
      <c r="K13" s="58">
        <v>5.305</v>
      </c>
    </row>
    <row r="14" spans="1:6" ht="16.5" thickBot="1">
      <c r="A14" s="89" t="s">
        <v>105</v>
      </c>
      <c r="B14" s="90">
        <f>SUM(B5:B13)</f>
        <v>0</v>
      </c>
      <c r="C14" s="111" t="e">
        <f>D14/B14</f>
        <v>#DIV/0!</v>
      </c>
      <c r="D14" s="112">
        <f>SUM(D5:D13)</f>
        <v>0</v>
      </c>
      <c r="E14" s="101"/>
      <c r="F14" s="91"/>
    </row>
    <row r="15" ht="19.5" thickTop="1">
      <c r="A15" s="114" t="s">
        <v>180</v>
      </c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45" sqref="I45"/>
    </sheetView>
  </sheetViews>
  <sheetFormatPr defaultColWidth="9.140625" defaultRowHeight="12.75"/>
  <cols>
    <col min="1" max="1" width="18.57421875" style="0" customWidth="1"/>
    <col min="7" max="7" width="16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 ht="12.75">
      <c r="A2" s="3" t="s">
        <v>8</v>
      </c>
      <c r="B2" s="4">
        <f>C2*$H$2</f>
        <v>925.7689999999999</v>
      </c>
      <c r="C2">
        <v>418.9</v>
      </c>
      <c r="D2" s="4">
        <v>-704.5</v>
      </c>
      <c r="E2" s="4">
        <f aca="true" t="shared" si="0" ref="E2:E9">D2*C2</f>
        <v>-295115.05</v>
      </c>
      <c r="G2" s="5" t="s">
        <v>12</v>
      </c>
      <c r="H2">
        <v>2.21</v>
      </c>
    </row>
    <row r="3" spans="1:9" ht="12.75">
      <c r="A3" s="3" t="s">
        <v>5</v>
      </c>
      <c r="B3" s="4">
        <f>C3*$H$2</f>
        <v>0</v>
      </c>
      <c r="C3">
        <v>0</v>
      </c>
      <c r="D3" s="4">
        <v>1960</v>
      </c>
      <c r="E3" s="4">
        <f t="shared" si="0"/>
        <v>0</v>
      </c>
      <c r="G3" s="5" t="s">
        <v>14</v>
      </c>
      <c r="H3">
        <v>154</v>
      </c>
      <c r="I3" t="s">
        <v>1</v>
      </c>
    </row>
    <row r="4" spans="1:9" ht="12.75">
      <c r="A4" s="3" t="s">
        <v>6</v>
      </c>
      <c r="B4">
        <v>242</v>
      </c>
      <c r="C4" s="4">
        <f>B4/$H$2</f>
        <v>109.50226244343891</v>
      </c>
      <c r="D4" s="4">
        <v>1350</v>
      </c>
      <c r="E4" s="4">
        <f t="shared" si="0"/>
        <v>147828.05429864253</v>
      </c>
      <c r="G4" s="5" t="s">
        <v>13</v>
      </c>
      <c r="H4">
        <v>242</v>
      </c>
      <c r="I4" t="s">
        <v>1</v>
      </c>
    </row>
    <row r="5" spans="1:9" ht="12.75">
      <c r="A5" s="3" t="s">
        <v>7</v>
      </c>
      <c r="B5">
        <v>221</v>
      </c>
      <c r="C5" s="4">
        <f>B5/$H$2</f>
        <v>100</v>
      </c>
      <c r="D5" s="4">
        <v>280</v>
      </c>
      <c r="E5" s="4">
        <f t="shared" si="0"/>
        <v>28000</v>
      </c>
      <c r="G5" s="5" t="s">
        <v>22</v>
      </c>
      <c r="H5">
        <v>463</v>
      </c>
      <c r="I5" t="s">
        <v>1</v>
      </c>
    </row>
    <row r="6" spans="1:9" ht="12.75">
      <c r="A6" s="3" t="s">
        <v>18</v>
      </c>
      <c r="B6" s="4">
        <f>SUM(B4:B5)</f>
        <v>463</v>
      </c>
      <c r="C6" s="2"/>
      <c r="D6" s="2"/>
      <c r="E6" s="2"/>
      <c r="G6" s="5" t="s">
        <v>15</v>
      </c>
      <c r="H6">
        <v>-190</v>
      </c>
      <c r="I6" t="s">
        <v>16</v>
      </c>
    </row>
    <row r="7" spans="1:9" ht="12.75">
      <c r="A7" s="3" t="s">
        <v>10</v>
      </c>
      <c r="B7">
        <v>353.6</v>
      </c>
      <c r="C7" s="4">
        <f>B7/$H$2</f>
        <v>160</v>
      </c>
      <c r="D7" s="4">
        <v>-206</v>
      </c>
      <c r="E7" s="4">
        <f t="shared" si="0"/>
        <v>-32960</v>
      </c>
      <c r="G7" s="5" t="s">
        <v>17</v>
      </c>
      <c r="H7">
        <v>-440</v>
      </c>
      <c r="I7" t="s">
        <v>16</v>
      </c>
    </row>
    <row r="8" spans="1:8" ht="12.75">
      <c r="A8" s="3" t="s">
        <v>11</v>
      </c>
      <c r="B8">
        <v>0</v>
      </c>
      <c r="C8" s="4">
        <f>B8/$H$2</f>
        <v>0</v>
      </c>
      <c r="D8" s="4">
        <v>-5260</v>
      </c>
      <c r="E8" s="4">
        <f t="shared" si="0"/>
        <v>0</v>
      </c>
      <c r="G8" s="5" t="s">
        <v>19</v>
      </c>
      <c r="H8">
        <v>0.264</v>
      </c>
    </row>
    <row r="9" spans="1:9" ht="12.75">
      <c r="A9" s="3" t="s">
        <v>9</v>
      </c>
      <c r="B9" s="4">
        <f>C9*$H$2</f>
        <v>0</v>
      </c>
      <c r="C9">
        <v>0</v>
      </c>
      <c r="D9" s="4">
        <v>-5400</v>
      </c>
      <c r="E9" s="4">
        <f t="shared" si="0"/>
        <v>0</v>
      </c>
      <c r="G9" s="5" t="s">
        <v>20</v>
      </c>
      <c r="H9">
        <v>354</v>
      </c>
      <c r="I9" t="s">
        <v>1</v>
      </c>
    </row>
    <row r="10" spans="1:9" ht="12.75">
      <c r="A10" s="3" t="s">
        <v>26</v>
      </c>
      <c r="B10" s="4">
        <f>SUM(B2:B9)-B6</f>
        <v>1742.3689999999997</v>
      </c>
      <c r="C10" s="4">
        <f>SUM(C2:C9)</f>
        <v>788.4022624434389</v>
      </c>
      <c r="D10" s="4">
        <f>E10/C10</f>
        <v>-193.10826839779634</v>
      </c>
      <c r="E10" s="4">
        <f>SUM(E2:E9)</f>
        <v>-152246.99570135746</v>
      </c>
      <c r="G10" s="5" t="s">
        <v>21</v>
      </c>
      <c r="H10">
        <v>13.7</v>
      </c>
      <c r="I10" t="s">
        <v>1</v>
      </c>
    </row>
    <row r="11" spans="7:9" ht="12.75">
      <c r="G11" s="5" t="s">
        <v>24</v>
      </c>
      <c r="H11">
        <v>1653</v>
      </c>
      <c r="I11" t="s">
        <v>1</v>
      </c>
    </row>
    <row r="12" spans="7:9" ht="12.75">
      <c r="G12" s="5" t="s">
        <v>23</v>
      </c>
      <c r="H12" t="s">
        <v>25</v>
      </c>
      <c r="I12" t="s">
        <v>1</v>
      </c>
    </row>
    <row r="13" spans="1:5" ht="12.75">
      <c r="A13" s="1" t="s">
        <v>27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5" ht="12.75">
      <c r="A14" s="3" t="s">
        <v>8</v>
      </c>
      <c r="B14" s="4">
        <f>C14*$H$2</f>
        <v>914.498</v>
      </c>
      <c r="C14">
        <v>413.8</v>
      </c>
      <c r="D14" s="4">
        <v>-710.3</v>
      </c>
      <c r="E14" s="4">
        <f>D14*C14</f>
        <v>-293922.14</v>
      </c>
    </row>
    <row r="15" spans="1:5" ht="12.75">
      <c r="A15" s="3" t="s">
        <v>5</v>
      </c>
      <c r="B15" s="4">
        <f>C15*$H$2</f>
        <v>0</v>
      </c>
      <c r="C15">
        <v>0</v>
      </c>
      <c r="D15" s="4">
        <v>1960</v>
      </c>
      <c r="E15" s="4">
        <f>D15*C15</f>
        <v>0</v>
      </c>
    </row>
    <row r="16" spans="1:5" ht="12.75">
      <c r="A16" s="3" t="s">
        <v>6</v>
      </c>
      <c r="B16">
        <v>242</v>
      </c>
      <c r="C16" s="4">
        <f>B16/$H$2</f>
        <v>109.50226244343891</v>
      </c>
      <c r="D16" s="4">
        <v>1350</v>
      </c>
      <c r="E16" s="4">
        <f>D16*C16</f>
        <v>147828.05429864253</v>
      </c>
    </row>
    <row r="17" spans="1:5" ht="12.75">
      <c r="A17" s="3" t="s">
        <v>7</v>
      </c>
      <c r="B17">
        <v>221</v>
      </c>
      <c r="C17" s="4">
        <f>B17/$H$2</f>
        <v>100</v>
      </c>
      <c r="D17" s="4">
        <v>280</v>
      </c>
      <c r="E17" s="4">
        <f>D17*C17</f>
        <v>28000</v>
      </c>
    </row>
    <row r="18" spans="1:5" ht="12.75">
      <c r="A18" s="3" t="s">
        <v>18</v>
      </c>
      <c r="B18" s="4">
        <f>SUM(B16:B17)</f>
        <v>463</v>
      </c>
      <c r="C18" s="2"/>
      <c r="D18" s="2"/>
      <c r="E18" s="2"/>
    </row>
    <row r="19" spans="1:5" ht="12.75">
      <c r="A19" s="3" t="s">
        <v>10</v>
      </c>
      <c r="B19">
        <v>353.6</v>
      </c>
      <c r="C19" s="4">
        <f>B19/$H$2</f>
        <v>160</v>
      </c>
      <c r="D19" s="4">
        <v>-206</v>
      </c>
      <c r="E19" s="4">
        <f>D19*C19</f>
        <v>-32960</v>
      </c>
    </row>
    <row r="20" spans="1:5" ht="12.75">
      <c r="A20" s="3" t="s">
        <v>11</v>
      </c>
      <c r="B20">
        <v>0</v>
      </c>
      <c r="C20" s="4">
        <f>B20/$H$2</f>
        <v>0</v>
      </c>
      <c r="D20" s="4">
        <v>-5260</v>
      </c>
      <c r="E20" s="4">
        <f>D20*C20</f>
        <v>0</v>
      </c>
    </row>
    <row r="21" spans="1:5" ht="12.75">
      <c r="A21" s="3" t="s">
        <v>9</v>
      </c>
      <c r="B21" s="4">
        <f>C21*$H$2</f>
        <v>0</v>
      </c>
      <c r="C21">
        <v>0</v>
      </c>
      <c r="D21" s="4">
        <v>-5400</v>
      </c>
      <c r="E21" s="4">
        <f>D21*C21</f>
        <v>0</v>
      </c>
    </row>
    <row r="22" spans="1:5" ht="12.75">
      <c r="A22" s="3" t="s">
        <v>26</v>
      </c>
      <c r="B22" s="4">
        <f>SUM(B14:B21)-B18</f>
        <v>1731.098</v>
      </c>
      <c r="C22" s="4">
        <f>SUM(C14:C21)</f>
        <v>783.302262443439</v>
      </c>
      <c r="D22" s="4">
        <f>E22/C22</f>
        <v>-192.84265212021504</v>
      </c>
      <c r="E22" s="4">
        <f>SUM(E14:E21)</f>
        <v>-151054.0857013575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3">
      <selection activeCell="C12" sqref="C12"/>
    </sheetView>
  </sheetViews>
  <sheetFormatPr defaultColWidth="9.140625" defaultRowHeight="12.75"/>
  <cols>
    <col min="1" max="1" width="50.57421875" style="25" customWidth="1"/>
    <col min="2" max="2" width="11.140625" style="27" customWidth="1"/>
    <col min="3" max="3" width="11.57421875" style="27" customWidth="1"/>
    <col min="4" max="4" width="11.140625" style="27" customWidth="1"/>
    <col min="5" max="16384" width="8.00390625" style="25" customWidth="1"/>
  </cols>
  <sheetData>
    <row r="1" spans="1:4" s="38" customFormat="1" ht="20.25">
      <c r="A1" s="113" t="s">
        <v>79</v>
      </c>
      <c r="B1" s="53"/>
      <c r="C1" s="53"/>
      <c r="D1" s="53"/>
    </row>
    <row r="2" spans="1:4" s="38" customFormat="1" ht="15.75">
      <c r="A2" s="38" t="s">
        <v>80</v>
      </c>
      <c r="B2" s="53"/>
      <c r="C2" s="53"/>
      <c r="D2" s="53"/>
    </row>
    <row r="3" spans="1:4" s="38" customFormat="1" ht="15.75">
      <c r="A3" s="38" t="s">
        <v>81</v>
      </c>
      <c r="B3" s="53"/>
      <c r="C3" s="53"/>
      <c r="D3" s="53"/>
    </row>
    <row r="4" spans="1:4" s="38" customFormat="1" ht="15.75">
      <c r="A4" s="38" t="s">
        <v>82</v>
      </c>
      <c r="B4" s="53"/>
      <c r="C4" s="53"/>
      <c r="D4" s="53"/>
    </row>
    <row r="5" spans="1:4" s="38" customFormat="1" ht="15.75">
      <c r="A5" s="38" t="s">
        <v>83</v>
      </c>
      <c r="B5" s="53"/>
      <c r="C5" s="53">
        <f>2.2046/0.264</f>
        <v>8.350757575757576</v>
      </c>
      <c r="D5" s="53"/>
    </row>
    <row r="7" ht="13.5" thickBot="1"/>
    <row r="8" spans="1:4" ht="16.5" thickTop="1">
      <c r="A8" s="40" t="s">
        <v>52</v>
      </c>
      <c r="B8" s="41" t="s">
        <v>60</v>
      </c>
      <c r="C8" s="41" t="s">
        <v>63</v>
      </c>
      <c r="D8" s="42" t="s">
        <v>69</v>
      </c>
    </row>
    <row r="9" spans="1:4" ht="16.5" thickBot="1">
      <c r="A9" s="43"/>
      <c r="B9" s="44" t="s">
        <v>61</v>
      </c>
      <c r="C9" s="44" t="s">
        <v>64</v>
      </c>
      <c r="D9" s="45" t="s">
        <v>70</v>
      </c>
    </row>
    <row r="10" spans="1:7" ht="16.5" thickTop="1">
      <c r="A10" s="46" t="s">
        <v>53</v>
      </c>
      <c r="B10" s="47">
        <v>430</v>
      </c>
      <c r="C10" s="47" t="s">
        <v>65</v>
      </c>
      <c r="D10" s="48" t="s">
        <v>71</v>
      </c>
      <c r="G10" s="28"/>
    </row>
    <row r="11" spans="1:4" ht="15.75">
      <c r="A11" s="49" t="s">
        <v>54</v>
      </c>
      <c r="B11" s="50">
        <v>75</v>
      </c>
      <c r="C11" s="187">
        <v>-1350</v>
      </c>
      <c r="D11" s="52" t="s">
        <v>72</v>
      </c>
    </row>
    <row r="12" spans="1:4" ht="15.75">
      <c r="A12" s="49" t="s">
        <v>55</v>
      </c>
      <c r="B12" s="50">
        <v>85</v>
      </c>
      <c r="C12" s="188" t="s">
        <v>66</v>
      </c>
      <c r="D12" s="52" t="s">
        <v>73</v>
      </c>
    </row>
    <row r="13" spans="1:4" ht="15.75">
      <c r="A13" s="49" t="s">
        <v>56</v>
      </c>
      <c r="B13" s="50">
        <v>140</v>
      </c>
      <c r="C13" s="50" t="s">
        <v>67</v>
      </c>
      <c r="D13" s="52" t="s">
        <v>74</v>
      </c>
    </row>
    <row r="14" spans="1:4" ht="15.75">
      <c r="A14" s="49" t="s">
        <v>57</v>
      </c>
      <c r="B14" s="50" t="s">
        <v>32</v>
      </c>
      <c r="C14" s="51">
        <v>5260</v>
      </c>
      <c r="D14" s="52" t="s">
        <v>75</v>
      </c>
    </row>
    <row r="15" spans="1:4" ht="16.5" thickBot="1">
      <c r="A15" s="54" t="s">
        <v>58</v>
      </c>
      <c r="B15" s="55" t="s">
        <v>62</v>
      </c>
      <c r="C15" s="56">
        <v>5400</v>
      </c>
      <c r="D15" s="57" t="s">
        <v>76</v>
      </c>
    </row>
    <row r="16" spans="1:4" ht="16.5" thickBot="1">
      <c r="A16" s="43" t="s">
        <v>59</v>
      </c>
      <c r="B16" s="44">
        <v>745</v>
      </c>
      <c r="C16" s="44" t="s">
        <v>68</v>
      </c>
      <c r="D16" s="45" t="s">
        <v>77</v>
      </c>
    </row>
    <row r="17" ht="16.5" thickTop="1">
      <c r="C17" s="53" t="s">
        <v>78</v>
      </c>
    </row>
    <row r="18" ht="18.75">
      <c r="A18" s="39" t="s">
        <v>107</v>
      </c>
    </row>
    <row r="19" ht="18.75">
      <c r="A19" s="39"/>
    </row>
    <row r="20" ht="15.75">
      <c r="A20" s="38" t="s">
        <v>84</v>
      </c>
    </row>
    <row r="21" ht="15.75">
      <c r="A21" s="38" t="s">
        <v>85</v>
      </c>
    </row>
    <row r="22" ht="15.75">
      <c r="A22" s="38" t="s">
        <v>86</v>
      </c>
    </row>
    <row r="23" ht="15.75">
      <c r="A23" s="38" t="s">
        <v>87</v>
      </c>
    </row>
    <row r="24" ht="15.75">
      <c r="A24" s="38" t="s">
        <v>88</v>
      </c>
    </row>
    <row r="25" ht="15.75">
      <c r="A25" s="38" t="s">
        <v>89</v>
      </c>
    </row>
    <row r="26" ht="15.75">
      <c r="A26" s="38" t="s">
        <v>93</v>
      </c>
    </row>
    <row r="27" ht="15.75">
      <c r="A27" s="38" t="s">
        <v>90</v>
      </c>
    </row>
    <row r="28" ht="15.75">
      <c r="A28" s="38" t="s">
        <v>91</v>
      </c>
    </row>
    <row r="29" ht="15.75">
      <c r="A29" s="38" t="s">
        <v>92</v>
      </c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32" sqref="C32"/>
    </sheetView>
  </sheetViews>
  <sheetFormatPr defaultColWidth="9.140625" defaultRowHeight="12.75"/>
  <cols>
    <col min="1" max="1" width="25.7109375" style="25" customWidth="1"/>
    <col min="2" max="2" width="10.7109375" style="25" customWidth="1"/>
    <col min="3" max="3" width="32.7109375" style="25" customWidth="1"/>
    <col min="4" max="4" width="8.00390625" style="25" customWidth="1"/>
    <col min="5" max="5" width="28.28125" style="25" bestFit="1" customWidth="1"/>
    <col min="6" max="16384" width="8.00390625" style="25" customWidth="1"/>
  </cols>
  <sheetData>
    <row r="1" ht="18.75">
      <c r="A1" s="39" t="s">
        <v>35</v>
      </c>
    </row>
    <row r="2" ht="15.75">
      <c r="A2" s="38" t="s">
        <v>36</v>
      </c>
    </row>
    <row r="3" ht="15.75">
      <c r="A3" s="38" t="s">
        <v>37</v>
      </c>
    </row>
    <row r="4" ht="15.75">
      <c r="A4" s="38" t="s">
        <v>38</v>
      </c>
    </row>
    <row r="5" ht="15.75">
      <c r="A5" s="38" t="s">
        <v>39</v>
      </c>
    </row>
    <row r="6" ht="15.75">
      <c r="A6" s="38" t="s">
        <v>40</v>
      </c>
    </row>
    <row r="7" ht="15.75">
      <c r="A7" s="38" t="s">
        <v>41</v>
      </c>
    </row>
    <row r="8" ht="15.75">
      <c r="A8" s="38"/>
    </row>
    <row r="9" spans="1:3" ht="13.5" thickBot="1">
      <c r="A9" s="35"/>
      <c r="B9" s="37" t="s">
        <v>2</v>
      </c>
      <c r="C9" s="36"/>
    </row>
    <row r="10" spans="1:3" ht="15" thickTop="1">
      <c r="A10" s="33" t="s">
        <v>42</v>
      </c>
      <c r="B10" s="34">
        <v>70</v>
      </c>
      <c r="C10" s="29" t="s">
        <v>46</v>
      </c>
    </row>
    <row r="11" spans="1:3" ht="14.25">
      <c r="A11" s="32" t="s">
        <v>43</v>
      </c>
      <c r="B11" s="31">
        <v>84</v>
      </c>
      <c r="C11" s="30" t="s">
        <v>47</v>
      </c>
    </row>
    <row r="12" spans="1:3" ht="14.25">
      <c r="A12" s="32" t="s">
        <v>44</v>
      </c>
      <c r="B12" s="31">
        <v>65</v>
      </c>
      <c r="C12" s="30" t="s">
        <v>48</v>
      </c>
    </row>
    <row r="13" spans="1:3" ht="12.75">
      <c r="A13" s="33" t="s">
        <v>45</v>
      </c>
      <c r="B13" s="32"/>
      <c r="C13" s="29" t="s">
        <v>49</v>
      </c>
    </row>
    <row r="14" ht="12.75">
      <c r="A14" s="25" t="s">
        <v>50</v>
      </c>
    </row>
    <row r="15" ht="12.75">
      <c r="A15" s="25" t="s">
        <v>51</v>
      </c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IMPAC Medical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Hughes</dc:creator>
  <cp:keywords/>
  <dc:description/>
  <cp:lastModifiedBy>Matt Gillis</cp:lastModifiedBy>
  <cp:lastPrinted>2006-04-11T18:42:07Z</cp:lastPrinted>
  <dcterms:created xsi:type="dcterms:W3CDTF">2006-02-14T23:52:21Z</dcterms:created>
  <dcterms:modified xsi:type="dcterms:W3CDTF">2006-05-22T16:57:18Z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